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5125" windowHeight="12300" tabRatio="682"/>
  </bookViews>
  <sheets>
    <sheet name="Estado Situacion" sheetId="2" r:id="rId1"/>
    <sheet name="Estado Resultado" sheetId="1" r:id="rId2"/>
    <sheet name="A-SITUACION (2)" sheetId="19" state="hidden" r:id="rId3"/>
    <sheet name="NOTA 11-CAPITAL" sheetId="16" state="hidden" r:id="rId4"/>
    <sheet name="A-RESULTADO (2)" sheetId="34" state="hidden" r:id="rId5"/>
    <sheet name="Cédula Nota 1" sheetId="31" state="hidden" r:id="rId6"/>
    <sheet name="Cédula Nota 2 " sheetId="26" state="hidden" r:id="rId7"/>
    <sheet name="Nota 3 Resumen" sheetId="40" state="hidden" r:id="rId8"/>
    <sheet name="NOTA 3-C-CONST " sheetId="7" state="hidden" r:id="rId9"/>
    <sheet name="NOTA 3-ANTIC COMP Y OTRAS" sheetId="13" state="hidden" r:id="rId10"/>
    <sheet name="Intereses" sheetId="45" state="hidden" r:id="rId11"/>
    <sheet name="Nota 3 CxC Emplead" sheetId="41" state="hidden" r:id="rId12"/>
    <sheet name="NOTA 3-C X C" sheetId="22" state="hidden" r:id="rId13"/>
    <sheet name="NOTA 4  INVENTARIO" sheetId="37" state="hidden" r:id="rId14"/>
    <sheet name="NOTA 5  GPA" sheetId="39" state="hidden" r:id="rId15"/>
    <sheet name="NOTA 5-SEG PAG X ANT" sheetId="23" state="hidden" r:id="rId16"/>
    <sheet name="NOTA 5 - LIC MS 365 AMORTIZ" sheetId="38" state="hidden" r:id="rId17"/>
    <sheet name="NOTA 7-ACTIVOS FIJOS" sheetId="29" state="hidden" r:id="rId18"/>
    <sheet name="NOTA 8-CEDULAS CxP " sheetId="25" state="hidden" r:id="rId19"/>
    <sheet name="NOTA 9-CEDULAS RETENCIO X PAGAR" sheetId="35" state="hidden" r:id="rId20"/>
    <sheet name="NOTA 10-OTRAS CXP" sheetId="30" state="hidden" r:id="rId21"/>
    <sheet name="BONIFICACION" sheetId="42" state="hidden" r:id="rId22"/>
    <sheet name="REGALIA" sheetId="36" state="hidden" r:id="rId23"/>
    <sheet name="VACACIONES" sheetId="44" state="hidden" r:id="rId24"/>
    <sheet name="NOTA 12-DIVIDENDOS" sheetId="32" state="hidden" r:id="rId25"/>
    <sheet name="Hoja5" sheetId="20" state="hidden" r:id="rId26"/>
    <sheet name="Hoja2" sheetId="43" state="hidden" r:id="rId27"/>
  </sheets>
  <definedNames>
    <definedName name="_xlnm.Print_Area" localSheetId="4">'A-RESULTADO (2)'!$A$1:$F$127</definedName>
    <definedName name="_xlnm.Print_Area" localSheetId="2">'A-SITUACION (2)'!$A$1:$F$150</definedName>
    <definedName name="_xlnm.Print_Area" localSheetId="5">'Cédula Nota 1'!$A$1:$E$15</definedName>
    <definedName name="_xlnm.Print_Area" localSheetId="6">'Cédula Nota 2 '!$A$1:$E$20</definedName>
    <definedName name="_xlnm.Print_Area" localSheetId="1">'Estado Resultado'!$A$1:$E$54</definedName>
    <definedName name="_xlnm.Print_Area" localSheetId="0">'Estado Situacion'!$A$1:$E$60</definedName>
    <definedName name="_xlnm.Print_Area" localSheetId="3">'NOTA 11-CAPITAL'!$A$1:$J$28</definedName>
    <definedName name="_xlnm.Print_Area" localSheetId="9">'NOTA 3-ANTIC COMP Y OTRAS'!$B$1:$F$29</definedName>
    <definedName name="_xlnm.Print_Area" localSheetId="8">'NOTA 3-C-CONST '!$A$1:$F$45</definedName>
    <definedName name="_xlnm.Print_Area" localSheetId="13">'NOTA 4  INVENTARIO'!$A$1:$C$13</definedName>
    <definedName name="_xlnm.Print_Area" localSheetId="16">'NOTA 5 - LIC MS 365 AMORTIZ'!$A$1:$F$44</definedName>
    <definedName name="_xlnm.Print_Area" localSheetId="18">'NOTA 8-CEDULAS CxP '!$A$1:$B$87</definedName>
    <definedName name="_xlnm.Print_Area" localSheetId="19">'NOTA 9-CEDULAS RETENCIO X PAGAR'!$A$1:$B$94</definedName>
    <definedName name="_xlnm.Print_Titles" localSheetId="4">'A-RESULTADO (2)'!$1:$9</definedName>
    <definedName name="_xlnm.Print_Titles" localSheetId="2">'A-SITUACION (2)'!$1:$9</definedName>
    <definedName name="_xlnm.Print_Titles" localSheetId="8">'NOTA 3-C-CONST 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9" i="29" l="1"/>
  <c r="B90" i="35"/>
  <c r="B93" i="35" s="1"/>
  <c r="B68" i="35"/>
  <c r="B54" i="35"/>
  <c r="E10" i="26" l="1"/>
  <c r="H6" i="26"/>
  <c r="D50" i="34"/>
  <c r="C42" i="2"/>
  <c r="D122" i="19"/>
  <c r="D137" i="19" l="1"/>
  <c r="B37" i="35"/>
  <c r="B85" i="25"/>
  <c r="B87" i="25" s="1"/>
  <c r="B97" i="25"/>
  <c r="B55" i="25"/>
  <c r="B42" i="25"/>
  <c r="I92" i="29" l="1"/>
  <c r="D69" i="19" l="1"/>
  <c r="E37" i="7"/>
  <c r="F37" i="7" s="1"/>
  <c r="E16" i="7"/>
  <c r="F16" i="7" s="1"/>
  <c r="F49" i="23"/>
  <c r="I11" i="41"/>
  <c r="I10" i="41"/>
  <c r="E28" i="13"/>
  <c r="C10" i="40"/>
  <c r="D33" i="19" s="1"/>
  <c r="F33" i="19" s="1"/>
  <c r="C11" i="26"/>
  <c r="F32" i="34"/>
  <c r="F45" i="34"/>
  <c r="F60" i="34"/>
  <c r="F72" i="34"/>
  <c r="F73" i="34"/>
  <c r="E126" i="34"/>
  <c r="E119" i="34"/>
  <c r="E105" i="34"/>
  <c r="E82" i="34"/>
  <c r="E50" i="34"/>
  <c r="E25" i="34"/>
  <c r="D25" i="34"/>
  <c r="E19" i="34"/>
  <c r="E13" i="34"/>
  <c r="E146" i="19"/>
  <c r="E139" i="19"/>
  <c r="E124" i="19"/>
  <c r="E111" i="19"/>
  <c r="E92" i="19"/>
  <c r="E87" i="19"/>
  <c r="E81" i="19"/>
  <c r="E77" i="19"/>
  <c r="E71" i="19"/>
  <c r="G71" i="19"/>
  <c r="E65" i="19"/>
  <c r="E59" i="19"/>
  <c r="E51" i="19"/>
  <c r="E44" i="19"/>
  <c r="E38" i="19"/>
  <c r="E27" i="19"/>
  <c r="E19" i="19"/>
  <c r="F70" i="34"/>
  <c r="D85" i="29"/>
  <c r="E85" i="29"/>
  <c r="F85" i="29"/>
  <c r="D106" i="19" s="1"/>
  <c r="F92" i="29"/>
  <c r="E92" i="29"/>
  <c r="D92" i="29"/>
  <c r="F115" i="34"/>
  <c r="D105" i="34"/>
  <c r="C23" i="1" s="1"/>
  <c r="E23" i="1" s="1"/>
  <c r="B69" i="25"/>
  <c r="B40" i="35"/>
  <c r="B42" i="35" s="1"/>
  <c r="C11" i="30"/>
  <c r="D144" i="19" s="1"/>
  <c r="D55" i="19"/>
  <c r="F55" i="19"/>
  <c r="E30" i="7"/>
  <c r="E22" i="7"/>
  <c r="G92" i="44"/>
  <c r="I92" i="44" s="1"/>
  <c r="G91" i="44"/>
  <c r="I91" i="44" s="1"/>
  <c r="G90" i="44"/>
  <c r="I90" i="44" s="1"/>
  <c r="G89" i="44"/>
  <c r="I89" i="44"/>
  <c r="G88" i="44"/>
  <c r="I88" i="44" s="1"/>
  <c r="G87" i="44"/>
  <c r="I87" i="44"/>
  <c r="G86" i="44"/>
  <c r="I86" i="44" s="1"/>
  <c r="G85" i="44"/>
  <c r="I85" i="44"/>
  <c r="I84" i="44"/>
  <c r="G84" i="44"/>
  <c r="G83" i="44"/>
  <c r="I83" i="44"/>
  <c r="G82" i="44"/>
  <c r="I82" i="44" s="1"/>
  <c r="G81" i="44"/>
  <c r="I81" i="44"/>
  <c r="G80" i="44"/>
  <c r="I80" i="44" s="1"/>
  <c r="G79" i="44"/>
  <c r="I79" i="44"/>
  <c r="G78" i="44"/>
  <c r="I78" i="44" s="1"/>
  <c r="G77" i="44"/>
  <c r="I77" i="44"/>
  <c r="G76" i="44"/>
  <c r="I76" i="44" s="1"/>
  <c r="G75" i="44"/>
  <c r="I75" i="44"/>
  <c r="G74" i="44"/>
  <c r="I74" i="44" s="1"/>
  <c r="G73" i="44"/>
  <c r="I73" i="44"/>
  <c r="G72" i="44"/>
  <c r="I72" i="44" s="1"/>
  <c r="G71" i="44"/>
  <c r="I71" i="44"/>
  <c r="G70" i="44"/>
  <c r="I70" i="44" s="1"/>
  <c r="G69" i="44"/>
  <c r="I69" i="44" s="1"/>
  <c r="G68" i="44"/>
  <c r="I68" i="44" s="1"/>
  <c r="G67" i="44"/>
  <c r="I67" i="44"/>
  <c r="G66" i="44"/>
  <c r="I66" i="44" s="1"/>
  <c r="G65" i="44"/>
  <c r="I65" i="44"/>
  <c r="G64" i="44"/>
  <c r="I64" i="44" s="1"/>
  <c r="G63" i="44"/>
  <c r="I63" i="44"/>
  <c r="G62" i="44"/>
  <c r="I62" i="44" s="1"/>
  <c r="G61" i="44"/>
  <c r="I61" i="44"/>
  <c r="I60" i="44"/>
  <c r="G60" i="44"/>
  <c r="G59" i="44"/>
  <c r="I59" i="44"/>
  <c r="G58" i="44"/>
  <c r="I58" i="44" s="1"/>
  <c r="G57" i="44"/>
  <c r="I57" i="44"/>
  <c r="G56" i="44"/>
  <c r="I56" i="44" s="1"/>
  <c r="G55" i="44"/>
  <c r="I55" i="44"/>
  <c r="G54" i="44"/>
  <c r="I54" i="44" s="1"/>
  <c r="G53" i="44"/>
  <c r="I53" i="44"/>
  <c r="G52" i="44"/>
  <c r="I52" i="44" s="1"/>
  <c r="G51" i="44"/>
  <c r="I51" i="44" s="1"/>
  <c r="G50" i="44"/>
  <c r="I50" i="44" s="1"/>
  <c r="G49" i="44"/>
  <c r="I49" i="44"/>
  <c r="G48" i="44"/>
  <c r="I48" i="44" s="1"/>
  <c r="G47" i="44"/>
  <c r="I47" i="44"/>
  <c r="G46" i="44"/>
  <c r="I46" i="44" s="1"/>
  <c r="G45" i="44"/>
  <c r="I45" i="44"/>
  <c r="G44" i="44"/>
  <c r="I44" i="44" s="1"/>
  <c r="G43" i="44"/>
  <c r="I43" i="44"/>
  <c r="G42" i="44"/>
  <c r="I42" i="44" s="1"/>
  <c r="G41" i="44"/>
  <c r="I41" i="44"/>
  <c r="G40" i="44"/>
  <c r="I40" i="44" s="1"/>
  <c r="G39" i="44"/>
  <c r="I39" i="44"/>
  <c r="G38" i="44"/>
  <c r="I38" i="44" s="1"/>
  <c r="G37" i="44"/>
  <c r="I37" i="44"/>
  <c r="G36" i="44"/>
  <c r="I36" i="44" s="1"/>
  <c r="G35" i="44"/>
  <c r="I35" i="44"/>
  <c r="G34" i="44"/>
  <c r="I34" i="44" s="1"/>
  <c r="G33" i="44"/>
  <c r="I33" i="44"/>
  <c r="G32" i="44"/>
  <c r="I32" i="44" s="1"/>
  <c r="G31" i="44"/>
  <c r="I31" i="44"/>
  <c r="G30" i="44"/>
  <c r="I30" i="44" s="1"/>
  <c r="G29" i="44"/>
  <c r="I29" i="44"/>
  <c r="I28" i="44"/>
  <c r="G28" i="44"/>
  <c r="G27" i="44"/>
  <c r="I27" i="44"/>
  <c r="G26" i="44"/>
  <c r="I26" i="44" s="1"/>
  <c r="G25" i="44"/>
  <c r="I25" i="44"/>
  <c r="G24" i="44"/>
  <c r="I24" i="44" s="1"/>
  <c r="G23" i="44"/>
  <c r="I23" i="44"/>
  <c r="G22" i="44"/>
  <c r="I22" i="44" s="1"/>
  <c r="G21" i="44"/>
  <c r="I21" i="44"/>
  <c r="G20" i="44"/>
  <c r="I20" i="44" s="1"/>
  <c r="G19" i="44"/>
  <c r="I19" i="44"/>
  <c r="G18" i="44"/>
  <c r="I18" i="44" s="1"/>
  <c r="G17" i="44"/>
  <c r="I17" i="44"/>
  <c r="G16" i="44"/>
  <c r="I16" i="44" s="1"/>
  <c r="G15" i="44"/>
  <c r="I15" i="44"/>
  <c r="G14" i="44"/>
  <c r="I14" i="44" s="1"/>
  <c r="G13" i="44"/>
  <c r="I13" i="44" s="1"/>
  <c r="G12" i="44"/>
  <c r="I12" i="44" s="1"/>
  <c r="G11" i="44"/>
  <c r="I11" i="44"/>
  <c r="G10" i="44"/>
  <c r="I10" i="44" s="1"/>
  <c r="G9" i="44"/>
  <c r="I9" i="44"/>
  <c r="G8" i="44"/>
  <c r="I8" i="44" s="1"/>
  <c r="G7" i="44"/>
  <c r="I7" i="44"/>
  <c r="G6" i="44"/>
  <c r="I6" i="44" s="1"/>
  <c r="G5" i="44"/>
  <c r="I5" i="44"/>
  <c r="J89" i="29"/>
  <c r="J92" i="29" s="1"/>
  <c r="F19" i="16"/>
  <c r="F26" i="16" s="1"/>
  <c r="F21" i="16"/>
  <c r="D71" i="19"/>
  <c r="D75" i="19"/>
  <c r="F75" i="19" s="1"/>
  <c r="C14" i="45"/>
  <c r="C11" i="40" s="1"/>
  <c r="D34" i="19" s="1"/>
  <c r="F34" i="19" s="1"/>
  <c r="F113" i="34"/>
  <c r="I85" i="29"/>
  <c r="I94" i="29" s="1"/>
  <c r="J84" i="29"/>
  <c r="J85" i="29" s="1"/>
  <c r="C92" i="29"/>
  <c r="D115" i="19"/>
  <c r="F115" i="19" s="1"/>
  <c r="I12" i="41"/>
  <c r="I13" i="41" s="1"/>
  <c r="F11" i="22"/>
  <c r="C13" i="40" s="1"/>
  <c r="D36" i="19" s="1"/>
  <c r="F36" i="19" s="1"/>
  <c r="E35" i="7"/>
  <c r="D14" i="31"/>
  <c r="G9" i="41"/>
  <c r="E13" i="41"/>
  <c r="G12" i="41"/>
  <c r="C30" i="1"/>
  <c r="E30" i="1" s="1"/>
  <c r="B25" i="35"/>
  <c r="F112" i="34"/>
  <c r="F30" i="38"/>
  <c r="F40" i="38"/>
  <c r="D21" i="2"/>
  <c r="B17" i="25"/>
  <c r="B20" i="35"/>
  <c r="B56" i="25"/>
  <c r="C85" i="29"/>
  <c r="E40" i="7"/>
  <c r="F40" i="7" s="1"/>
  <c r="E33" i="7"/>
  <c r="F33" i="7"/>
  <c r="F122" i="19"/>
  <c r="F69" i="34"/>
  <c r="B45" i="25"/>
  <c r="F20" i="38"/>
  <c r="D24" i="38" s="1"/>
  <c r="D22" i="38"/>
  <c r="F22" i="38" s="1"/>
  <c r="F24" i="38" s="1"/>
  <c r="D13" i="19"/>
  <c r="F13" i="19" s="1"/>
  <c r="I9" i="41"/>
  <c r="E32" i="7"/>
  <c r="E23" i="42"/>
  <c r="G89" i="29"/>
  <c r="G91" i="29"/>
  <c r="K91" i="29" s="1"/>
  <c r="G90" i="29"/>
  <c r="K90" i="29" s="1"/>
  <c r="G88" i="29"/>
  <c r="J88" i="29"/>
  <c r="F102" i="19"/>
  <c r="F103" i="19"/>
  <c r="C31" i="1"/>
  <c r="E31" i="1" s="1"/>
  <c r="D131" i="19"/>
  <c r="F131" i="19" s="1"/>
  <c r="D128" i="19"/>
  <c r="E10" i="22"/>
  <c r="D10" i="22"/>
  <c r="E9" i="22"/>
  <c r="D9" i="22"/>
  <c r="C9" i="22"/>
  <c r="G84" i="29"/>
  <c r="G82" i="29"/>
  <c r="K82" i="29" s="1"/>
  <c r="G83" i="29"/>
  <c r="K83" i="29" s="1"/>
  <c r="B98" i="25"/>
  <c r="E15" i="36"/>
  <c r="E16" i="36"/>
  <c r="E17" i="36" s="1"/>
  <c r="E18" i="36" s="1"/>
  <c r="E19" i="36" s="1"/>
  <c r="E20" i="36" s="1"/>
  <c r="E14" i="36"/>
  <c r="E13" i="42"/>
  <c r="E12" i="42"/>
  <c r="E11" i="42"/>
  <c r="E10" i="42"/>
  <c r="E9" i="42"/>
  <c r="E8" i="42"/>
  <c r="E6" i="42"/>
  <c r="E5" i="42"/>
  <c r="E14" i="42" s="1"/>
  <c r="F75" i="34"/>
  <c r="C16" i="1"/>
  <c r="E16" i="1" s="1"/>
  <c r="F87" i="34"/>
  <c r="F88" i="34"/>
  <c r="C15" i="1"/>
  <c r="E15" i="1" s="1"/>
  <c r="F42" i="29"/>
  <c r="F46" i="29"/>
  <c r="F48" i="29"/>
  <c r="E42" i="29"/>
  <c r="E35" i="29"/>
  <c r="E39" i="29"/>
  <c r="E48" i="29" s="1"/>
  <c r="C35" i="29"/>
  <c r="C43" i="29"/>
  <c r="C42" i="29"/>
  <c r="G42" i="29" s="1"/>
  <c r="C36" i="29"/>
  <c r="C39" i="29" s="1"/>
  <c r="C48" i="29" s="1"/>
  <c r="G36" i="29"/>
  <c r="K36" i="29" s="1"/>
  <c r="G37" i="29"/>
  <c r="K37" i="29"/>
  <c r="I46" i="29"/>
  <c r="E46" i="29"/>
  <c r="D46" i="29"/>
  <c r="J45" i="29"/>
  <c r="K45" i="29" s="1"/>
  <c r="G45" i="29"/>
  <c r="J44" i="29"/>
  <c r="K44" i="29" s="1"/>
  <c r="G44" i="29"/>
  <c r="J43" i="29"/>
  <c r="J42" i="29"/>
  <c r="J46" i="29" s="1"/>
  <c r="I39" i="29"/>
  <c r="I48" i="29" s="1"/>
  <c r="F39" i="29"/>
  <c r="D39" i="29"/>
  <c r="D48" i="29" s="1"/>
  <c r="J38" i="29"/>
  <c r="G38" i="29"/>
  <c r="K38" i="29" s="1"/>
  <c r="J37" i="29"/>
  <c r="J36" i="29"/>
  <c r="J39" i="29" s="1"/>
  <c r="J48" i="29" s="1"/>
  <c r="J35" i="29"/>
  <c r="C46" i="29"/>
  <c r="G43" i="29"/>
  <c r="K43" i="29" s="1"/>
  <c r="G35" i="29"/>
  <c r="K35" i="29"/>
  <c r="K39" i="29" s="1"/>
  <c r="E14" i="7"/>
  <c r="F14" i="7" s="1"/>
  <c r="E43" i="7"/>
  <c r="F43" i="7"/>
  <c r="C12" i="29"/>
  <c r="G12" i="29" s="1"/>
  <c r="K12" i="29" s="1"/>
  <c r="C10" i="29"/>
  <c r="G10" i="29" s="1"/>
  <c r="C14" i="29"/>
  <c r="G20" i="29"/>
  <c r="K20" i="29" s="1"/>
  <c r="G19" i="29"/>
  <c r="G13" i="29"/>
  <c r="G11" i="29"/>
  <c r="C18" i="29"/>
  <c r="G18" i="29"/>
  <c r="C17" i="29"/>
  <c r="C21" i="29" s="1"/>
  <c r="C23" i="29" s="1"/>
  <c r="F17" i="29"/>
  <c r="F21" i="29" s="1"/>
  <c r="F23" i="29" s="1"/>
  <c r="F14" i="29"/>
  <c r="I21" i="29"/>
  <c r="I23" i="29" s="1"/>
  <c r="E21" i="29"/>
  <c r="D21" i="29"/>
  <c r="J20" i="29"/>
  <c r="J19" i="29"/>
  <c r="K19" i="29" s="1"/>
  <c r="J18" i="29"/>
  <c r="J17" i="29"/>
  <c r="J21" i="29" s="1"/>
  <c r="I14" i="29"/>
  <c r="E14" i="29"/>
  <c r="D14" i="29"/>
  <c r="D23" i="29" s="1"/>
  <c r="J13" i="29"/>
  <c r="J12" i="29"/>
  <c r="J11" i="29"/>
  <c r="J10" i="29"/>
  <c r="J14" i="29" s="1"/>
  <c r="J23" i="29" s="1"/>
  <c r="C12" i="32"/>
  <c r="F137" i="19"/>
  <c r="D136" i="19"/>
  <c r="F136" i="19" s="1"/>
  <c r="D135" i="19"/>
  <c r="F135" i="19" s="1"/>
  <c r="D134" i="19"/>
  <c r="F134" i="19" s="1"/>
  <c r="D133" i="19"/>
  <c r="F133" i="19" s="1"/>
  <c r="D132" i="19"/>
  <c r="F132" i="19" s="1"/>
  <c r="D130" i="19"/>
  <c r="F130" i="19" s="1"/>
  <c r="D129" i="19"/>
  <c r="F129" i="19" s="1"/>
  <c r="D121" i="19"/>
  <c r="F121" i="19" s="1"/>
  <c r="D120" i="19"/>
  <c r="F120" i="19" s="1"/>
  <c r="D119" i="19"/>
  <c r="F119" i="19" s="1"/>
  <c r="D118" i="19"/>
  <c r="F118" i="19" s="1"/>
  <c r="D117" i="19"/>
  <c r="F117" i="19" s="1"/>
  <c r="D116" i="19"/>
  <c r="F116" i="19" s="1"/>
  <c r="F28" i="23"/>
  <c r="F34" i="23" s="1"/>
  <c r="D16" i="19"/>
  <c r="F16" i="19"/>
  <c r="D15" i="19"/>
  <c r="F15" i="19" s="1"/>
  <c r="D14" i="19"/>
  <c r="F14" i="19" s="1"/>
  <c r="F86" i="34"/>
  <c r="F33" i="34"/>
  <c r="C21" i="1"/>
  <c r="F17" i="34"/>
  <c r="F19" i="34" s="1"/>
  <c r="G11" i="41"/>
  <c r="G10" i="41"/>
  <c r="G13" i="41" s="1"/>
  <c r="C11" i="22"/>
  <c r="E41" i="7"/>
  <c r="F41" i="7"/>
  <c r="D63" i="19"/>
  <c r="F63" i="19" s="1"/>
  <c r="F93" i="34"/>
  <c r="F66" i="34"/>
  <c r="E38" i="7"/>
  <c r="F38" i="7" s="1"/>
  <c r="F102" i="34"/>
  <c r="F22" i="7"/>
  <c r="F25" i="23"/>
  <c r="D32" i="1"/>
  <c r="F76" i="34"/>
  <c r="F65" i="34"/>
  <c r="C12" i="37"/>
  <c r="D42" i="19" s="1"/>
  <c r="D32" i="7"/>
  <c r="D44" i="7" s="1"/>
  <c r="D38" i="7"/>
  <c r="F80" i="34"/>
  <c r="F117" i="34"/>
  <c r="F35" i="7"/>
  <c r="F14" i="38"/>
  <c r="F42" i="38" s="1"/>
  <c r="C10" i="39" s="1"/>
  <c r="D49" i="19" s="1"/>
  <c r="F49" i="19" s="1"/>
  <c r="F21" i="23"/>
  <c r="F51" i="23" s="1"/>
  <c r="C9" i="39" s="1"/>
  <c r="F10" i="7"/>
  <c r="F11" i="7"/>
  <c r="F12" i="7"/>
  <c r="F13" i="7"/>
  <c r="F15" i="7"/>
  <c r="F17" i="7"/>
  <c r="F18" i="7"/>
  <c r="F19" i="7"/>
  <c r="F20" i="7"/>
  <c r="F21" i="7"/>
  <c r="F23" i="7"/>
  <c r="F24" i="7"/>
  <c r="F25" i="7"/>
  <c r="F26" i="7"/>
  <c r="F27" i="7"/>
  <c r="F28" i="7"/>
  <c r="F29" i="7"/>
  <c r="F30" i="7"/>
  <c r="F31" i="7"/>
  <c r="F34" i="7"/>
  <c r="F36" i="7"/>
  <c r="E39" i="7"/>
  <c r="F39" i="7" s="1"/>
  <c r="F42" i="7"/>
  <c r="D24" i="19"/>
  <c r="F24" i="19"/>
  <c r="F11" i="34"/>
  <c r="F13" i="34"/>
  <c r="D13" i="34"/>
  <c r="C14" i="1" s="1"/>
  <c r="D19" i="34"/>
  <c r="F23" i="34"/>
  <c r="F25" i="34" s="1"/>
  <c r="F29" i="34"/>
  <c r="F30" i="34"/>
  <c r="F31" i="34"/>
  <c r="F34" i="34"/>
  <c r="F35" i="34"/>
  <c r="F36" i="34"/>
  <c r="F37" i="34"/>
  <c r="F38" i="34"/>
  <c r="F39" i="34"/>
  <c r="F40" i="34"/>
  <c r="F41" i="34"/>
  <c r="F42" i="34"/>
  <c r="F43" i="34"/>
  <c r="F44" i="34"/>
  <c r="F46" i="34"/>
  <c r="F47" i="34"/>
  <c r="F48" i="34"/>
  <c r="F54" i="34"/>
  <c r="F55" i="34"/>
  <c r="F56" i="34"/>
  <c r="F57" i="34"/>
  <c r="F58" i="34"/>
  <c r="F59" i="34"/>
  <c r="F61" i="34"/>
  <c r="F62" i="34"/>
  <c r="F63" i="34"/>
  <c r="F64" i="34"/>
  <c r="F67" i="34"/>
  <c r="F68" i="34"/>
  <c r="F71" i="34"/>
  <c r="F74" i="34"/>
  <c r="F77" i="34"/>
  <c r="F78" i="34"/>
  <c r="F79" i="34"/>
  <c r="F89" i="34"/>
  <c r="F90" i="34"/>
  <c r="F91" i="34"/>
  <c r="F92" i="34"/>
  <c r="F94" i="34"/>
  <c r="F95" i="34"/>
  <c r="F96" i="34"/>
  <c r="F97" i="34"/>
  <c r="F99" i="34"/>
  <c r="F100" i="34"/>
  <c r="F101" i="34"/>
  <c r="F103" i="34"/>
  <c r="F109" i="34"/>
  <c r="F110" i="34"/>
  <c r="F111" i="34"/>
  <c r="F114" i="34"/>
  <c r="F116" i="34"/>
  <c r="F123" i="34"/>
  <c r="B6" i="16"/>
  <c r="B8" i="16"/>
  <c r="E18" i="16"/>
  <c r="E20" i="16"/>
  <c r="E21" i="16"/>
  <c r="E22" i="16"/>
  <c r="E23" i="16"/>
  <c r="E24" i="16"/>
  <c r="H26" i="16"/>
  <c r="J26" i="16"/>
  <c r="F31" i="19"/>
  <c r="F56" i="19"/>
  <c r="F57" i="19"/>
  <c r="F58" i="19"/>
  <c r="F62" i="19"/>
  <c r="F64" i="19"/>
  <c r="F68" i="19"/>
  <c r="F71" i="19" s="1"/>
  <c r="F70" i="19"/>
  <c r="F74" i="19"/>
  <c r="F77" i="19" s="1"/>
  <c r="F76" i="19"/>
  <c r="F79" i="19"/>
  <c r="F81" i="19" s="1"/>
  <c r="F80" i="19"/>
  <c r="D81" i="19"/>
  <c r="F85" i="19"/>
  <c r="F87" i="19" s="1"/>
  <c r="F86" i="19"/>
  <c r="D87" i="19"/>
  <c r="F90" i="19"/>
  <c r="F91" i="19"/>
  <c r="F92" i="19" s="1"/>
  <c r="D92" i="19"/>
  <c r="D17" i="1"/>
  <c r="D25" i="1"/>
  <c r="A46" i="1"/>
  <c r="D26" i="2"/>
  <c r="D35" i="2"/>
  <c r="D38" i="2"/>
  <c r="D47" i="2" s="1"/>
  <c r="E41" i="2"/>
  <c r="E42" i="2"/>
  <c r="D45" i="2"/>
  <c r="E23" i="29"/>
  <c r="G17" i="29"/>
  <c r="G21" i="29" s="1"/>
  <c r="K18" i="29"/>
  <c r="K11" i="29"/>
  <c r="K13" i="29"/>
  <c r="D126" i="34"/>
  <c r="F124" i="34"/>
  <c r="F69" i="19"/>
  <c r="D65" i="19"/>
  <c r="F100" i="19"/>
  <c r="D17" i="19"/>
  <c r="D19" i="19" s="1"/>
  <c r="C16" i="2" s="1"/>
  <c r="E16" i="2" s="1"/>
  <c r="F25" i="19"/>
  <c r="F101" i="19"/>
  <c r="D119" i="34"/>
  <c r="D109" i="19"/>
  <c r="F109" i="19" s="1"/>
  <c r="F30" i="23"/>
  <c r="F32" i="23"/>
  <c r="F105" i="19"/>
  <c r="D107" i="19"/>
  <c r="F107" i="19" s="1"/>
  <c r="F104" i="19"/>
  <c r="D82" i="34"/>
  <c r="C32" i="1"/>
  <c r="F98" i="34"/>
  <c r="D59" i="19"/>
  <c r="D95" i="19" s="1"/>
  <c r="C24" i="2" s="1"/>
  <c r="E24" i="2" s="1"/>
  <c r="D77" i="19"/>
  <c r="H13" i="41"/>
  <c r="D27" i="1"/>
  <c r="D37" i="1" s="1"/>
  <c r="D36" i="1"/>
  <c r="D139" i="19" l="1"/>
  <c r="C33" i="2" s="1"/>
  <c r="C24" i="1"/>
  <c r="E24" i="1" s="1"/>
  <c r="F119" i="34"/>
  <c r="C22" i="1"/>
  <c r="E22" i="1" s="1"/>
  <c r="F42" i="19"/>
  <c r="F44" i="19" s="1"/>
  <c r="D44" i="19"/>
  <c r="C19" i="2" s="1"/>
  <c r="C11" i="39"/>
  <c r="D48" i="19"/>
  <c r="E21" i="1"/>
  <c r="C25" i="1"/>
  <c r="E21" i="36"/>
  <c r="K42" i="29"/>
  <c r="G46" i="29"/>
  <c r="K46" i="29" s="1"/>
  <c r="K48" i="29" s="1"/>
  <c r="C17" i="1"/>
  <c r="E14" i="1"/>
  <c r="E17" i="1" s="1"/>
  <c r="I93" i="44"/>
  <c r="I95" i="44" s="1"/>
  <c r="F98" i="44" s="1"/>
  <c r="F99" i="44" s="1"/>
  <c r="E32" i="1"/>
  <c r="I18" i="41"/>
  <c r="C12" i="40"/>
  <c r="D35" i="19" s="1"/>
  <c r="F35" i="19" s="1"/>
  <c r="K10" i="29"/>
  <c r="K14" i="29" s="1"/>
  <c r="K23" i="29" s="1"/>
  <c r="G14" i="29"/>
  <c r="G23" i="29" s="1"/>
  <c r="D28" i="2"/>
  <c r="D48" i="2" s="1"/>
  <c r="E95" i="19"/>
  <c r="F59" i="19"/>
  <c r="F95" i="19" s="1"/>
  <c r="F32" i="7"/>
  <c r="G39" i="29"/>
  <c r="K84" i="29"/>
  <c r="E24" i="42"/>
  <c r="E25" i="42" s="1"/>
  <c r="E26" i="42" s="1"/>
  <c r="E19" i="16"/>
  <c r="F105" i="34"/>
  <c r="J94" i="29"/>
  <c r="K17" i="29"/>
  <c r="K21" i="29" s="1"/>
  <c r="F126" i="34"/>
  <c r="F50" i="34"/>
  <c r="F65" i="19"/>
  <c r="F82" i="34"/>
  <c r="F144" i="19"/>
  <c r="F146" i="19" s="1"/>
  <c r="D146" i="19"/>
  <c r="C34" i="2" s="1"/>
  <c r="E34" i="2" s="1"/>
  <c r="F128" i="19"/>
  <c r="F139" i="19" s="1"/>
  <c r="D124" i="19"/>
  <c r="C32" i="2" s="1"/>
  <c r="F124" i="19"/>
  <c r="E94" i="29"/>
  <c r="C94" i="29"/>
  <c r="C97" i="29" s="1"/>
  <c r="K89" i="29"/>
  <c r="G92" i="29"/>
  <c r="D94" i="29"/>
  <c r="K88" i="29"/>
  <c r="D108" i="19"/>
  <c r="F108" i="19" s="1"/>
  <c r="F111" i="19" s="1"/>
  <c r="G85" i="29"/>
  <c r="K85" i="29"/>
  <c r="F106" i="19"/>
  <c r="F94" i="29"/>
  <c r="E44" i="7"/>
  <c r="F44" i="7"/>
  <c r="C9" i="40" s="1"/>
  <c r="D32" i="19" s="1"/>
  <c r="E11" i="26"/>
  <c r="F17" i="19"/>
  <c r="F19" i="19" s="1"/>
  <c r="E19" i="2"/>
  <c r="E33" i="2" l="1"/>
  <c r="E25" i="1"/>
  <c r="C27" i="1"/>
  <c r="E27" i="1" s="1"/>
  <c r="E27" i="42"/>
  <c r="E31" i="42" s="1"/>
  <c r="D33" i="42" s="1"/>
  <c r="E35" i="42" s="1"/>
  <c r="D111" i="19"/>
  <c r="C25" i="2" s="1"/>
  <c r="E25" i="2" s="1"/>
  <c r="E26" i="2" s="1"/>
  <c r="D51" i="19"/>
  <c r="C20" i="2" s="1"/>
  <c r="E20" i="2" s="1"/>
  <c r="F48" i="19"/>
  <c r="F51" i="19" s="1"/>
  <c r="G48" i="29"/>
  <c r="E32" i="2"/>
  <c r="C35" i="2"/>
  <c r="C38" i="2" s="1"/>
  <c r="K92" i="29"/>
  <c r="K94" i="29" s="1"/>
  <c r="G94" i="29"/>
  <c r="C14" i="40"/>
  <c r="D38" i="19"/>
  <c r="C18" i="2" s="1"/>
  <c r="E18" i="2" s="1"/>
  <c r="F32" i="19"/>
  <c r="F38" i="19" s="1"/>
  <c r="E35" i="2" l="1"/>
  <c r="E38" i="2" s="1"/>
  <c r="C26" i="2"/>
  <c r="C36" i="1"/>
  <c r="C43" i="2" s="1"/>
  <c r="E36" i="1"/>
  <c r="E37" i="1" s="1"/>
  <c r="E17" i="2"/>
  <c r="E21" i="2" s="1"/>
  <c r="E28" i="2" s="1"/>
  <c r="C21" i="2"/>
  <c r="D27" i="19"/>
  <c r="F23" i="19"/>
  <c r="F27" i="19" s="1"/>
  <c r="C28" i="2" l="1"/>
  <c r="C37" i="1"/>
  <c r="C45" i="2"/>
  <c r="C47" i="2" s="1"/>
  <c r="E43" i="2"/>
  <c r="E45" i="2" s="1"/>
  <c r="E47" i="2" s="1"/>
</calcChain>
</file>

<file path=xl/sharedStrings.xml><?xml version="1.0" encoding="utf-8"?>
<sst xmlns="http://schemas.openxmlformats.org/spreadsheetml/2006/main" count="1290" uniqueCount="839">
  <si>
    <t>Corrientes:</t>
  </si>
  <si>
    <t>No Corrientes:</t>
  </si>
  <si>
    <t>FONDO PATRIMONIAL DE LAS EMPRESAS REFORMADAS</t>
  </si>
  <si>
    <t>Mes Actual</t>
  </si>
  <si>
    <t>ACTIVOS</t>
  </si>
  <si>
    <t>PASIVOS</t>
  </si>
  <si>
    <t>TOTAL PASIVOS</t>
  </si>
  <si>
    <t>PATRIMONIO</t>
  </si>
  <si>
    <t>TOTAL PATRIMONIO</t>
  </si>
  <si>
    <t xml:space="preserve">    </t>
  </si>
  <si>
    <t xml:space="preserve">ESTADO DE RESULTADOS </t>
  </si>
  <si>
    <t>Marleny Medrano</t>
  </si>
  <si>
    <t>Directora Administrativa Financiera</t>
  </si>
  <si>
    <t>PARQUE ECOLOGICO LAS LAGUNAS</t>
  </si>
  <si>
    <t>P/ CORREGIR BALANCE PROVEEDOR POR DISMINUCION EN PARTIDA DE IMPREVISTOS Y AUMENTO DE ITBIS</t>
  </si>
  <si>
    <t xml:space="preserve"> EDWIN ARTURO SEVERINO SEVERINO</t>
  </si>
  <si>
    <t>HILDA ELIZABETH ESCAÑO FERNANDEZ</t>
  </si>
  <si>
    <t>MARIO ISRAEL VALERIO MEJIA</t>
  </si>
  <si>
    <t>FELIX MARIA UBIERA SATURRIA</t>
  </si>
  <si>
    <t>RAUL ALBERTO MORETA CASTILLO</t>
  </si>
  <si>
    <t>CARLOS ALBERTO MONTERO MONTERO</t>
  </si>
  <si>
    <t>MANUEL ARCIDE DE LOS SANTOS BAUTISTA</t>
  </si>
  <si>
    <t>JIMENEZ ALBA Y ASCIADOS SRL</t>
  </si>
  <si>
    <t>CONSTRUCCIONES Y EQUIPOS MOLINAS SRL</t>
  </si>
  <si>
    <t>CONSTR DE 5 VIVIENDAS DE 2 Y 3 DORMITORIOS EN DIFERENTES SECTORES EN STO DGO</t>
  </si>
  <si>
    <t>MADELINE CANARIO OLIO</t>
  </si>
  <si>
    <t>CONSTRUCCION DE UNA PANADERIA REPOSTERIA EN SABANA LARGA, ELIAS PIÑA</t>
  </si>
  <si>
    <t>IVONNEL ALTAGRACIA CRUZ AZOR</t>
  </si>
  <si>
    <t>JOHNNY OMAR MEDINA FELIZ</t>
  </si>
  <si>
    <t>PLANTA FISICA PINEDA</t>
  </si>
  <si>
    <t>CONSTRUCCION LOTE #9 DE 15 VIVIENDAS ECONOMICAS, EN SAN JUAN DE LA MAGUANA 150 VIVIENDAS</t>
  </si>
  <si>
    <t>GAMUNDY CRUZ MADERA</t>
  </si>
  <si>
    <t>CONSTRUCCION DE 5 VIVIENDAS ECONOMICAS EN DIFERENTES SECTORES DE SANTIAGO</t>
  </si>
  <si>
    <t>MANUEL ANTONIO MERCEDES ESCOTO</t>
  </si>
  <si>
    <t>MIGUEL ANTONIO BERMUDEZ TORIBIO</t>
  </si>
  <si>
    <t>CONSTRUCCION,TERMINACION Y REPARACION DE 6 VIVIENDAS ECONOMICAS EN DIF. SECTORES,STGO</t>
  </si>
  <si>
    <t>SANTO ALOMAR MARIA UREÑA</t>
  </si>
  <si>
    <t>CONSTRUCCION DE CENTRO DE CONFECCION TEXTIL PEDRO GARCIA, SANTIAGO.</t>
  </si>
  <si>
    <t>LUIS MANUEL DURAN MIESES</t>
  </si>
  <si>
    <t>CONSTRUCCION DE (7) VIVIENDAS, TERMINACION DE (1) VIVIENDA Y REPARACION DE (2) VIVIENDAS, EN SANTIAGO.</t>
  </si>
  <si>
    <t>FABIOLA HAYDEE REYES MATOS</t>
  </si>
  <si>
    <t>CONSTRUCCION  DE PANADERIA REPOSTERIA LA CUMBRE, SANTIAGO.</t>
  </si>
  <si>
    <t>PEDRO MIGUEL VENTURA SANTANA</t>
  </si>
  <si>
    <t>CONSTRUCCION DE UN DESTACAMENTO POLICIAL LA CUMBRE, SANTIAGO.</t>
  </si>
  <si>
    <t>JOSE LUIS TAVERAS DE LOS SANTOS</t>
  </si>
  <si>
    <t>CONSTRUCCION DE CENTRO DE CONFECCION TEXTIL LA CUMBRE, SANTIAGO.</t>
  </si>
  <si>
    <t>TATIANA PUELLO MEDINA</t>
  </si>
  <si>
    <t>CONSTRUCCION DE UN PLAY DE BASEBALL MAMBUICHE, GURABO, SANTIAGO.</t>
  </si>
  <si>
    <t>MULTHIERROS &amp; CONSTRUCCIONES, SRL</t>
  </si>
  <si>
    <t>CONSTRUCCION DE UNA FUNERARIA MUNICIPAL EN JAMAO AL NORTE, PROVINCIA ESPAILLAT.</t>
  </si>
  <si>
    <t>CAROLINE MANUELA LOPEZ REYES</t>
  </si>
  <si>
    <t>CONSTRUCCION DE (6) VIVIENDAS, TERMINACION DE (3) Y REPARACION DE (1) EN DIFERENTES SECTORES DE SANTIAGO</t>
  </si>
  <si>
    <t>MULTICON, CONSTRUCCION EN GENERAL</t>
  </si>
  <si>
    <t>CONSTRUCCION DE UNA FUNERARIA MUNICIPAL EN MONTE CRISTI</t>
  </si>
  <si>
    <t>COFEMONT, SRL</t>
  </si>
  <si>
    <t>CONSTR. DE PANADERIA REPOSTERIA LA LEONOR, PARAJE LA LEONOR MUNICIPIO SABANETA, SANTIAGO RODRIGUEZ.</t>
  </si>
  <si>
    <t>BEXEL ENGINEERING AND CONTRACTORS, SR</t>
  </si>
  <si>
    <t>CONSTR. DE PANADERIA REPOSTERIA EN CARRERA DE YEGUA, LAS MATAS DE FARFAN, SAN JUAN.</t>
  </si>
  <si>
    <t>NEZARCA CONSTRUCTORA, SRL</t>
  </si>
  <si>
    <t>CONSTR. DE (4) VIVIENDAS ECONOMICAS EN DIF. SECTORES DE STO, DGO Y (1) EN SAN CRISTOBAL.</t>
  </si>
  <si>
    <t>CONSTR. DE PANADERIA REPOSTERIA Y SALON MULTIUSO LA BUENA ESPERANZA, EL PINO EN DAJABON.</t>
  </si>
  <si>
    <t>CONSTR. PANADERIA REPOSTERIA LAS MATAS DE FARFAN EN MUNICIPIO LAS MATAS DE FARFAN, SAN JUAN.</t>
  </si>
  <si>
    <t>CONSTR. DEL CENTRO DE MADRES PARA LA CONFECCION TEXTIL QUITA CORAZA, BARAHONA.</t>
  </si>
  <si>
    <t>BALANCE</t>
  </si>
  <si>
    <t>ANTERIOR</t>
  </si>
  <si>
    <t>EJECUTADO</t>
  </si>
  <si>
    <t>EN EL MES</t>
  </si>
  <si>
    <t>JOSE RAMON MARTINEZ HENRIQUEZ / ROBERT ANTONIO ALMANZAR MERCADO</t>
  </si>
  <si>
    <t>ANTICIPOS EN COMPRAS</t>
  </si>
  <si>
    <t>CAJA CHICA POR PAGAR</t>
  </si>
  <si>
    <t>VACACIONES POR PAGAR</t>
  </si>
  <si>
    <t>BANCO DE RESERVAS</t>
  </si>
  <si>
    <t>OTROS INGRESOS</t>
  </si>
  <si>
    <t>SUELDOS NAVIDEÑOS</t>
  </si>
  <si>
    <t>PRESTACIONES LABORALES</t>
  </si>
  <si>
    <t>BONIFICACIONES</t>
  </si>
  <si>
    <t>PAGOS DE VACACIONES</t>
  </si>
  <si>
    <t>INCENTIVO POR VACACIONES</t>
  </si>
  <si>
    <t>AGUA</t>
  </si>
  <si>
    <t>LIMPIEZA E HIGIENE</t>
  </si>
  <si>
    <t>PASAJES</t>
  </si>
  <si>
    <t>SEGUROS DE PERSONAS</t>
  </si>
  <si>
    <t>GASTOS JUDICIALES</t>
  </si>
  <si>
    <t>COMISIONES Y GASTOS BANCARIOS</t>
  </si>
  <si>
    <t>IMPUESTOS, DERECHOS Y TASAS</t>
  </si>
  <si>
    <t>PAPEL DE ESCRITORIO</t>
  </si>
  <si>
    <t>COMBUSTIBLES Y LUBRICANTES</t>
  </si>
  <si>
    <t>MATERIALES DE LIMPIEZA</t>
  </si>
  <si>
    <t>AYUDAS Y DONACIONES A PERSONAS</t>
  </si>
  <si>
    <t>Mes Anterior</t>
  </si>
  <si>
    <t>Variación</t>
  </si>
  <si>
    <t>MOLINOS DEL OZAMA</t>
  </si>
  <si>
    <t>EGEHAINA</t>
  </si>
  <si>
    <t>EDESUR</t>
  </si>
  <si>
    <t>EDENORTE</t>
  </si>
  <si>
    <t>EDEESTE</t>
  </si>
  <si>
    <t>% De</t>
  </si>
  <si>
    <t>Participación</t>
  </si>
  <si>
    <t>Cantidad de</t>
  </si>
  <si>
    <t>Acciones</t>
  </si>
  <si>
    <t>Notas</t>
  </si>
  <si>
    <t>INTERESES GANADOS:</t>
  </si>
  <si>
    <t>TOTAL INTERESES GANADOS</t>
  </si>
  <si>
    <t>OTROS INGRESOS:</t>
  </si>
  <si>
    <t>TOTAL OTROS INGRESOS</t>
  </si>
  <si>
    <t>REMUNERACIONES:</t>
  </si>
  <si>
    <t>SUELDOS PARA CARGOS FIJOS</t>
  </si>
  <si>
    <t>CONTRIBUCIONES A SEGURIDAD SOCIAL Y RIESGO LABORAL</t>
  </si>
  <si>
    <t>TOTAL REMUNERACIONES</t>
  </si>
  <si>
    <t>INTERNET Y TV POR CABLE</t>
  </si>
  <si>
    <t>ELECTRICIDAD</t>
  </si>
  <si>
    <t>PEAJE</t>
  </si>
  <si>
    <t>MANTENIMIENTO DE MAQUINARIAS Y EQUIPOS</t>
  </si>
  <si>
    <t>TOTAL SERVICIOS NO PERSONALES</t>
  </si>
  <si>
    <t>ALIMENTOS Y BEBIDAS PARA PERSONAS</t>
  </si>
  <si>
    <t>AMORTIZACIONES BIENES INTANGIBLES</t>
  </si>
  <si>
    <t>TOTAL MATERIALES Y SUMINISTROS</t>
  </si>
  <si>
    <t>TOTAL TRANSFERENCIAS Y DONACIONES</t>
  </si>
  <si>
    <t>EFECTIVO EN CAJA Y BANCO:</t>
  </si>
  <si>
    <t>FONDO DE CAJA CHICA</t>
  </si>
  <si>
    <t>BANCO DE RESERVAS (CTA. OPERATIVA)</t>
  </si>
  <si>
    <t>TOTAL EFECTIVO EN CAJA Y BANCO</t>
  </si>
  <si>
    <t>CUENTAS POR COBRAR MANTENIMIENTO EDIFICIO</t>
  </si>
  <si>
    <t>TOTAL GASTOS ANTICIPADOS</t>
  </si>
  <si>
    <t>MEJORAS E INSTALACIONES</t>
  </si>
  <si>
    <t>SOFTWARE</t>
  </si>
  <si>
    <t>CUENTAS POR PAGAR</t>
  </si>
  <si>
    <t>CUENTAS POR PAGAR PROVEEDORES</t>
  </si>
  <si>
    <t>CUENTAS POR PAGAR POR HONORARIOS CONTRATADOS</t>
  </si>
  <si>
    <t>TOTAL CUENTAS POR PAGAR</t>
  </si>
  <si>
    <t>GASTOS DE PERSONAL Y RETENCIONES POR PAGAR</t>
  </si>
  <si>
    <t>GRATIFICACIONES Y BONIFICACIONES POR PAGAR</t>
  </si>
  <si>
    <t>RETENCIONES IMPUESTOS A PROVEEDORES</t>
  </si>
  <si>
    <t>RETENCIONES IMPUESTOS S/RENTA EMPLEADOS</t>
  </si>
  <si>
    <t>TOTAL GASTOS DE PERSONAL Y RETENCIONES POR PAGAR</t>
  </si>
  <si>
    <t>TOTAL PATRIMONIO INSTITUCIONAL</t>
  </si>
  <si>
    <t>ANEXOS ESTADO DE RESULTADOS</t>
  </si>
  <si>
    <t>TOTAL CUENTAS POR COBRAR</t>
  </si>
  <si>
    <t>INVENTARIO DE SUMINISTROS</t>
  </si>
  <si>
    <t>TOTAL INVENTARIO DE SUMINISTROS</t>
  </si>
  <si>
    <t>TOTAL INVERSIONES EN ACCIONES</t>
  </si>
  <si>
    <t>OTRAS CUENTAS POR PAGAR</t>
  </si>
  <si>
    <t>Nota</t>
  </si>
  <si>
    <t>CONTRATISTA DE OBRAS</t>
  </si>
  <si>
    <t>Ingresos:</t>
  </si>
  <si>
    <t xml:space="preserve">Remuneraciones                              </t>
  </si>
  <si>
    <t xml:space="preserve">Total </t>
  </si>
  <si>
    <t xml:space="preserve">Aporte </t>
  </si>
  <si>
    <t>Acumulado al Mes Actual</t>
  </si>
  <si>
    <t>Acumulado al Mes Anterior</t>
  </si>
  <si>
    <t xml:space="preserve">Efectivo en caja y banco            </t>
  </si>
  <si>
    <t xml:space="preserve">Inversiones a corto plazo           </t>
  </si>
  <si>
    <t xml:space="preserve">Cuentas por cobrar                    </t>
  </si>
  <si>
    <t>Inventario de suministros</t>
  </si>
  <si>
    <t xml:space="preserve">Gastos anticipados                     </t>
  </si>
  <si>
    <t>Total activos corrientes</t>
  </si>
  <si>
    <t>Inversiones en acciones</t>
  </si>
  <si>
    <t>Total activos no corrientes</t>
  </si>
  <si>
    <t xml:space="preserve">Cuentas por pagar                             </t>
  </si>
  <si>
    <t xml:space="preserve">Otras cuentas por pagar                   </t>
  </si>
  <si>
    <t>Total pasivo a corto plazo</t>
  </si>
  <si>
    <t xml:space="preserve">Patrimonio institucional </t>
  </si>
  <si>
    <t>Resultado del ejercicio anterior</t>
  </si>
  <si>
    <t>Resultado del ejercicio corriente</t>
  </si>
  <si>
    <t xml:space="preserve">Gastos personal y retenciones por pagar   </t>
  </si>
  <si>
    <t xml:space="preserve">Participación en las empresas reformadas     </t>
  </si>
  <si>
    <t xml:space="preserve">Intereses ganados                              </t>
  </si>
  <si>
    <t xml:space="preserve">Otros ingresos                                </t>
  </si>
  <si>
    <t>Total de ingresos</t>
  </si>
  <si>
    <t>Gastos operaciones:</t>
  </si>
  <si>
    <t xml:space="preserve">Servicios no personales             </t>
  </si>
  <si>
    <t xml:space="preserve">Materiales y suministros             </t>
  </si>
  <si>
    <t xml:space="preserve">Transferencias y donaciones    </t>
  </si>
  <si>
    <t>Total gastos operaciones</t>
  </si>
  <si>
    <t>Resultado en operaciones</t>
  </si>
  <si>
    <t>Más (menos):</t>
  </si>
  <si>
    <t>TOTAL</t>
  </si>
  <si>
    <t>José E. Florentino</t>
  </si>
  <si>
    <t>Presidente</t>
  </si>
  <si>
    <t>Acumulado Mes Actual</t>
  </si>
  <si>
    <t>Acumulado Mes Anterior</t>
  </si>
  <si>
    <t>FECHA</t>
  </si>
  <si>
    <t>SUPLIDOR</t>
  </si>
  <si>
    <t>VALOR</t>
  </si>
  <si>
    <t>orden de las columnas</t>
  </si>
  <si>
    <t>poner una columna para las notas</t>
  </si>
  <si>
    <t>crear nota del capital institucional</t>
  </si>
  <si>
    <t>cambiar contrato de construccion por avance a contratista</t>
  </si>
  <si>
    <t>cambios pendientes en los anexos del sistema</t>
  </si>
  <si>
    <t>separar el certificado del banco agricola de las inversion en accion</t>
  </si>
  <si>
    <t>cambiar la numeración de las notas</t>
  </si>
  <si>
    <t>cambiar partidas por cobrar por cuentas por cobrar</t>
  </si>
  <si>
    <t>cambiar inventario por almacen de suministros e inventario de suministros</t>
  </si>
  <si>
    <t xml:space="preserve">total de actino po total total propiedas planta y equipo neto </t>
  </si>
  <si>
    <t>cambiar cerificado banco agricola por deposito a plazos (banco agricola)</t>
  </si>
  <si>
    <t xml:space="preserve">buscar notas hecha en excel para referencia </t>
  </si>
  <si>
    <t>donde dice intereses por cobar banco agricola esta mal escrito</t>
  </si>
  <si>
    <t>cambiar nombre de las colmnas mes actual mes anteriror variacion / acumulado mes actual acumulado mes anterio</t>
  </si>
  <si>
    <t>SUELDOS AL PERSONAL IGUALADO O CONTRATADO</t>
  </si>
  <si>
    <t>SERVICIOS GENERALES POR PAGAR</t>
  </si>
  <si>
    <t>SEGUROS BIENES MUEBLES</t>
  </si>
  <si>
    <t>ACTUAL</t>
  </si>
  <si>
    <t>FACTURA</t>
  </si>
  <si>
    <t>TOTAL AMORTIZADO</t>
  </si>
  <si>
    <t>BALANCE ACTUAL</t>
  </si>
  <si>
    <t>Carlos Suberví</t>
  </si>
  <si>
    <t>AVANCE</t>
  </si>
  <si>
    <t>Cliente</t>
  </si>
  <si>
    <t>Detalles</t>
  </si>
  <si>
    <t>Monto US$</t>
  </si>
  <si>
    <t>PRIMA DE TRANSPORTE</t>
  </si>
  <si>
    <t>Cuentas por pagar</t>
  </si>
  <si>
    <t>Monto RD$</t>
  </si>
  <si>
    <t>Tasa de cambio</t>
  </si>
  <si>
    <t>Efectivo en Caja y Banco</t>
  </si>
  <si>
    <t>Caja chica</t>
  </si>
  <si>
    <t>2-2-502-0278183</t>
  </si>
  <si>
    <t>2-2-201-0061783</t>
  </si>
  <si>
    <t>2-2-801-0047211</t>
  </si>
  <si>
    <t>2-2-815-0013469</t>
  </si>
  <si>
    <t>2-2-812-0013468</t>
  </si>
  <si>
    <t>2-2-503-0278669</t>
  </si>
  <si>
    <t>GASTO MENSUAL</t>
  </si>
  <si>
    <t>Menos DESCUENTO</t>
  </si>
  <si>
    <t>Total RD$</t>
  </si>
  <si>
    <t>Total</t>
  </si>
  <si>
    <t>REEMBOLSO A EMPLEADOS Y OTROS POR PAGAR</t>
  </si>
  <si>
    <t>Cédula de detalle de cuentas</t>
  </si>
  <si>
    <t>NOTA 1</t>
  </si>
  <si>
    <t>NOTA 2</t>
  </si>
  <si>
    <t>Inversiones a Corto Plazo</t>
  </si>
  <si>
    <t xml:space="preserve">ESTADO DE SITUACIÓN </t>
  </si>
  <si>
    <t xml:space="preserve">ANEXOS DE ESTADO DE SITUACIÓN </t>
  </si>
  <si>
    <t>NOTA 3</t>
  </si>
  <si>
    <t>ANÁLISIS BALANCE CUENTA AVANCE CONTRATOS DE CONSTRUCCIÓN</t>
  </si>
  <si>
    <t>CONCEPTO</t>
  </si>
  <si>
    <t>Anticipos en Compras</t>
  </si>
  <si>
    <t>Cuentas por Cobrar</t>
  </si>
  <si>
    <t>NOTA 5</t>
  </si>
  <si>
    <t>NOTA 9</t>
  </si>
  <si>
    <t>Descripción</t>
  </si>
  <si>
    <t>VALORES EXPRESADO EN RD$</t>
  </si>
  <si>
    <t>Valores expresados en RD$</t>
  </si>
  <si>
    <t>TRANSFERENCIAS Y DONACIONES:</t>
  </si>
  <si>
    <t>LA TABACALERA</t>
  </si>
  <si>
    <t>SUELDOS FIJOS PERSONAL EN TRÁMITE DE PENSIONES</t>
  </si>
  <si>
    <t>COMPENSACIÓN POR GASTOS DE ALIMENTOS</t>
  </si>
  <si>
    <t>COMPENSACIÓN POR HORAS EXTRAORDINARIAS</t>
  </si>
  <si>
    <t>COMPENSACIÓN POR SERVICIOS DE SEGURIDAD</t>
  </si>
  <si>
    <t>HONORARIOS PROFESIONALES Y TÉCNICOS</t>
  </si>
  <si>
    <t>COMPENSACIÓN CONSEJO DE DIRECTORES</t>
  </si>
  <si>
    <t>CONTRIBUCIÓN A EMPLEADOS POR OCASIONES ESPECIALES</t>
  </si>
  <si>
    <t>TELÉFONO LOCAL</t>
  </si>
  <si>
    <t>RESIDUOS SÓLIDOS</t>
  </si>
  <si>
    <t>IMPRESIÓN Y ENCUADERNACIÓN</t>
  </si>
  <si>
    <t>VIÁTICOS DENTRO DEL PAÍS</t>
  </si>
  <si>
    <t>SERVICIOS TÉCNICOS PROFESIONALES</t>
  </si>
  <si>
    <t>PRODUCTOS DE PAPEL Y CARBÓN</t>
  </si>
  <si>
    <t>LIBROS, REVISTAS Y PERIÓDICOS</t>
  </si>
  <si>
    <t>PRODUCTOS ELÉCTRICOS Y AFINES</t>
  </si>
  <si>
    <t>ÚTILES DE COCINA Y COMEDOR</t>
  </si>
  <si>
    <t>ÚTILES DIVERSOS</t>
  </si>
  <si>
    <t>DEPRECIACIÓN MUEBLES Y EQUIPOS DE OFICINA</t>
  </si>
  <si>
    <t>DEPRECIACIÓN MEJORAS E INSTALACIONES</t>
  </si>
  <si>
    <t>BANCO DE RESERVAS (CTA. NÓMINA)</t>
  </si>
  <si>
    <t>CTA AHORRO DÓLARES BCO DE RESERVAS A LA PAR</t>
  </si>
  <si>
    <t>CTA AHORRO DÓLARES BCO DE RESERVAS PRIMA</t>
  </si>
  <si>
    <t>DEPÓSITOS BANCO DE RESERVAS</t>
  </si>
  <si>
    <t>DEPÓSITOS BANCO DE RESERVAS DÓLARES A LA PAR</t>
  </si>
  <si>
    <t>DEPÓSITOS BANCO DE RESERVAS DÓLARES PRIMA</t>
  </si>
  <si>
    <t>INTERESES CUENTA AHORROS DÓLARES BCO. RESERVAS</t>
  </si>
  <si>
    <t>AVANCES CONTRATOS DE CONSTRUCCIÓN</t>
  </si>
  <si>
    <t>PARTICIPACIÓN EN MOLINOS DEL OZAMA</t>
  </si>
  <si>
    <t>PARTICIPACIÓN EN EDESUR</t>
  </si>
  <si>
    <t>CUENTAS POR PAGAR CONTRATISTA CONSTRUCCIONES</t>
  </si>
  <si>
    <t>SALARIO POR PAGAR</t>
  </si>
  <si>
    <t>CONTRIBUCIÓN A LA SEGURIDAD SOCIAL POR PAGAR</t>
  </si>
  <si>
    <t>REGALÍA PASCUAL POR PAGAR</t>
  </si>
  <si>
    <t>RETENCIÓN ITBIS</t>
  </si>
  <si>
    <t>RETENCIÓN CODIA</t>
  </si>
  <si>
    <t>RETENCIÓN FOPETCONS</t>
  </si>
  <si>
    <t>Pólizas de Seguros de la Institución</t>
  </si>
  <si>
    <t>NO. PÓLIZA</t>
  </si>
  <si>
    <t>Detalles de Salarios por Pagar</t>
  </si>
  <si>
    <t>EGE Haina</t>
  </si>
  <si>
    <t>EGE Itabo</t>
  </si>
  <si>
    <t>Molinos de Ozama</t>
  </si>
  <si>
    <t>Ingresos por Participación en las Empresas Reformadas</t>
  </si>
  <si>
    <t>cuenta no. 1104-01-001</t>
  </si>
  <si>
    <t>MEJORAS Y EMBELLECIMIENTO DE INSTALACIONES</t>
  </si>
  <si>
    <t>CUENTAS POR PAGAR COMBUSTIBLES</t>
  </si>
  <si>
    <t>Encargado División de Contabilidad</t>
  </si>
  <si>
    <t>Total Otros Ingresos (gastos):</t>
  </si>
  <si>
    <t>Mobiliarios y equipos, Neto</t>
  </si>
  <si>
    <t>TOTAL INVERSIONES A CORTO PLAZO</t>
  </si>
  <si>
    <t>MOBILIARIOS Y EQUIPOS</t>
  </si>
  <si>
    <t>TOTAL MOBILIARIOS Y EQUIPOS, NETO</t>
  </si>
  <si>
    <t>TOTAL OTRAS CUENTAS POR PAGAR</t>
  </si>
  <si>
    <t>INVERSIONES A CORTO PLAZO:</t>
  </si>
  <si>
    <t>CUENTAS POR COBRAR:</t>
  </si>
  <si>
    <t>INVENTARIO DE SUMINISTROS:</t>
  </si>
  <si>
    <t>GASTOS ANTICIPADOS:</t>
  </si>
  <si>
    <t>SEGUROS PAGADOS POR ANTICIPADO</t>
  </si>
  <si>
    <t>MOBILIARIOS Y EQUIPOS, NETO:</t>
  </si>
  <si>
    <t>INVERSIONES EN ACCIONES:</t>
  </si>
  <si>
    <t>PARTICIPACIÓN EN LA TABACALERA</t>
  </si>
  <si>
    <t>PARTICIPACIÓN EN LA TABACALERA, NETO</t>
  </si>
  <si>
    <t>PARTICIPACIÓN EN EGEITABO, NETO</t>
  </si>
  <si>
    <t>PARTICIPACIÓN EN EGEITABO</t>
  </si>
  <si>
    <t>BENEFICIOS (PÉRDIDAS) ACUMULADAS</t>
  </si>
  <si>
    <t>RESERVA LEGAL</t>
  </si>
  <si>
    <t>PÉRDIDA EN INVERSIÓN</t>
  </si>
  <si>
    <t>PARTICIPACIÓN EN MOLINOS DEL OZAMA, NETO</t>
  </si>
  <si>
    <t>PARTICIPACIÓN EN EGEHAINA</t>
  </si>
  <si>
    <t>PARTICIPACIÓN EN EGEHAINA, NETO</t>
  </si>
  <si>
    <t>PARTICIPACIÓN EN EDENORTE</t>
  </si>
  <si>
    <t>PARTICIPACIÓN EN EDENORTE, NETO</t>
  </si>
  <si>
    <t>PARTICIPACIÓN EN EDESUR, NETO</t>
  </si>
  <si>
    <t>PARTICIPACIÓN EN EDEESTE</t>
  </si>
  <si>
    <t>PARTICIPACIÓN EN EDEESTE, NETO</t>
  </si>
  <si>
    <t>DEPRECIACIÓN ACUMULADA</t>
  </si>
  <si>
    <t>AMORTIZACIÓN ACUMULADA</t>
  </si>
  <si>
    <t>EMPRESA</t>
  </si>
  <si>
    <t>GANANCIA (PÉRDIDA) EN OPERACIONES CAMBIARIAS</t>
  </si>
  <si>
    <t>OTROS INGRESOS (GASTOS) NO OPERACIONALES:</t>
  </si>
  <si>
    <t>SERVICIOS NO PERSONALES:</t>
  </si>
  <si>
    <t>MATERIALES Y SUMINISTROS:</t>
  </si>
  <si>
    <t>MANTENIMIENTO DE EQUIPOS DE TRANSPORTE Y TRACCIÓN</t>
  </si>
  <si>
    <t xml:space="preserve"> Carlos Suberví</t>
  </si>
  <si>
    <t>TOTAL PASIVOS Y PATRIMONIO</t>
  </si>
  <si>
    <t>TOTAL ACTIVOS</t>
  </si>
  <si>
    <t>RESULTADO NETO</t>
  </si>
  <si>
    <t>TOTAL OTROS INGRESOS (GASTOS) NO OPERACIONALES</t>
  </si>
  <si>
    <t>Nota 12</t>
  </si>
  <si>
    <t>Nota 10</t>
  </si>
  <si>
    <t>NOTA 8</t>
  </si>
  <si>
    <t>Superintendencia de Electricidad</t>
  </si>
  <si>
    <t>NOTA 7</t>
  </si>
  <si>
    <t>Activos Fijos, Neto</t>
  </si>
  <si>
    <t>CONSTRUCTORA SOSANMA S.R.L</t>
  </si>
  <si>
    <t>AVANCE EL 20% DEL PROYECTO CONST.(2)VIVIENDAS ECONOMICAS EN DIF. SECTORES D/ PROV.HERMANAS MIRABAL.</t>
  </si>
  <si>
    <t>Madres</t>
  </si>
  <si>
    <t>Padres</t>
  </si>
  <si>
    <t>Escolar</t>
  </si>
  <si>
    <t>HONORARIOS PARA SUPERVISAR OBRAS</t>
  </si>
  <si>
    <t>Existencias Almacén 1</t>
  </si>
  <si>
    <t>Existencias Almacén 2</t>
  </si>
  <si>
    <t>NOTA 4</t>
  </si>
  <si>
    <t>Almacén no.</t>
  </si>
  <si>
    <t>SUELDO PERSONAL EVENTUAL</t>
  </si>
  <si>
    <t>PUBLICIDAD Y PROPAGANDA</t>
  </si>
  <si>
    <t>LLANTAS Y TUBOS</t>
  </si>
  <si>
    <t>TRANSFERENCIAS CORRIENTES A LA ADM. CENTRAL</t>
  </si>
  <si>
    <t>TRANSFERENCIAS CORRIENTES A INSTITUCIONES DESCENT. Y</t>
  </si>
  <si>
    <t>TRANSFERENCIA DE CAPITAL A LA ADM. CENTRAL</t>
  </si>
  <si>
    <t>PENDIENTES POR PAGAR A EMPLEADOS</t>
  </si>
  <si>
    <t>Licencia de Microsoft 365</t>
  </si>
  <si>
    <t>LICENCIA MICROSOFT 365</t>
  </si>
  <si>
    <t>1  AÑO</t>
  </si>
  <si>
    <t>DOC. NO.</t>
  </si>
  <si>
    <t>D/F</t>
  </si>
  <si>
    <t>NEVER OFF TECHNOLOGY</t>
  </si>
  <si>
    <t xml:space="preserve"> </t>
  </si>
  <si>
    <t>TRANSFERENCIA A INSTITUCIONES SIN FINES DE LUCRO</t>
  </si>
  <si>
    <t>Seguros</t>
  </si>
  <si>
    <t>Licencias</t>
  </si>
  <si>
    <t>CUENTAS POR PAGAR RETENCIONES  (TSS por Pagar)</t>
  </si>
  <si>
    <t>Avance contratos de construcción</t>
  </si>
  <si>
    <t xml:space="preserve">SUIM SUPLIDORES INSTITUCIONALES </t>
  </si>
  <si>
    <t>MICROSOFT OFFICE</t>
  </si>
  <si>
    <t>MEMBRESIA</t>
  </si>
  <si>
    <t>ALQUILER MAQUINARIAS Y EQUIPOS</t>
  </si>
  <si>
    <t>AUDITORIA Y ESTUDIOS FINANCIEROS</t>
  </si>
  <si>
    <t>CUENTA POR PAGAR OTROS PROVEEDORES</t>
  </si>
  <si>
    <t>DESDE EL 31 OCT 2022 HASTA EL 31 OCT 2023</t>
  </si>
  <si>
    <t>002671134</t>
  </si>
  <si>
    <t>002620477</t>
  </si>
  <si>
    <t>002620481</t>
  </si>
  <si>
    <t>002620496</t>
  </si>
  <si>
    <t>002620489</t>
  </si>
  <si>
    <t>002671147</t>
  </si>
  <si>
    <t>NOVIEMBRE Y DICIEMBRE 2022</t>
  </si>
  <si>
    <t>ENERO - MARZO 2023</t>
  </si>
  <si>
    <t>ELECTROCONSTRUCONT, S.R.L.</t>
  </si>
  <si>
    <t>FLOW, SRL</t>
  </si>
  <si>
    <t>SKETCHPROM, SRL</t>
  </si>
  <si>
    <t>DEPRECIACIÓN ARMAS DE FUEGO</t>
  </si>
  <si>
    <t>Cuenta de ahorro en US$, a la par</t>
  </si>
  <si>
    <t>Cuenta de ahorro en US$, prima</t>
  </si>
  <si>
    <t>HLB Auditores</t>
  </si>
  <si>
    <t>PAGO TOTAL SOLICITADO EN NOV 2022</t>
  </si>
  <si>
    <t>Otras Cuentas por pagar</t>
  </si>
  <si>
    <t>Gastos de personal y retenciones por pagar</t>
  </si>
  <si>
    <t>Salarios por pagar</t>
  </si>
  <si>
    <t>Gratificaciones y bonificaciones por pagar</t>
  </si>
  <si>
    <t>Contribución a la seguridad social por pagar</t>
  </si>
  <si>
    <t>Vacaciones por pagar</t>
  </si>
  <si>
    <t>Regalía pascual por pagar</t>
  </si>
  <si>
    <t>Retenciones de impuestos a proveedores</t>
  </si>
  <si>
    <t>Retenciones impuestos s/renta empleados</t>
  </si>
  <si>
    <t>Retención ITBIS</t>
  </si>
  <si>
    <t>Retención CODIA</t>
  </si>
  <si>
    <t>Retención FOPETCONS</t>
  </si>
  <si>
    <t>OTROS ALQUILERES</t>
  </si>
  <si>
    <t>PRODUCTOS FARMACEUTICOS Y CONEXOS</t>
  </si>
  <si>
    <t>FESTIVIDADES</t>
  </si>
  <si>
    <t>CUENTAS POR COBRAR EMPLEADOS</t>
  </si>
  <si>
    <t>NONSPILL CORPORATION,S.R.L.</t>
  </si>
  <si>
    <t>Cuentas por cobrar a empleados</t>
  </si>
  <si>
    <t>CUENTAS POR COBRAR A EMPLEADOS</t>
  </si>
  <si>
    <t>RELACIÓN DE DESCUENTO TELÉFONO</t>
  </si>
  <si>
    <t>No.</t>
  </si>
  <si>
    <t xml:space="preserve">NOMBRE </t>
  </si>
  <si>
    <t>CÉDULA</t>
  </si>
  <si>
    <t>CARGO</t>
  </si>
  <si>
    <t xml:space="preserve">MONTO TOTAL </t>
  </si>
  <si>
    <t>MONTO DE LA CUOTA</t>
  </si>
  <si>
    <t xml:space="preserve">BALANCE CXC </t>
  </si>
  <si>
    <t>JOSE E FLORENTINO R</t>
  </si>
  <si>
    <t>001-0088117-6</t>
  </si>
  <si>
    <t>PRESIDENTE</t>
  </si>
  <si>
    <t>001-1231063-6</t>
  </si>
  <si>
    <t>ENCARGADO</t>
  </si>
  <si>
    <t>GERMAINE D GAZON R</t>
  </si>
  <si>
    <t>001-1872649-6</t>
  </si>
  <si>
    <t>COORDINADOR</t>
  </si>
  <si>
    <t>Mejoras e instalaciones</t>
  </si>
  <si>
    <t>Equipos de transporte</t>
  </si>
  <si>
    <t>Saldo inicial</t>
  </si>
  <si>
    <t>Adiciones</t>
  </si>
  <si>
    <t>Ajustes</t>
  </si>
  <si>
    <t>Retiros</t>
  </si>
  <si>
    <t>Depreciación acumulada</t>
  </si>
  <si>
    <t>Cargos del periodo</t>
  </si>
  <si>
    <t>Ajustes y reclasificación</t>
  </si>
  <si>
    <t>Total balance</t>
  </si>
  <si>
    <t>Software</t>
  </si>
  <si>
    <t xml:space="preserve">Descripción costo </t>
  </si>
  <si>
    <t xml:space="preserve">Sub-total dep. acumulada </t>
  </si>
  <si>
    <t>Sub-total costo</t>
  </si>
  <si>
    <t xml:space="preserve">NO. DE CUOTAS </t>
  </si>
  <si>
    <t>TOTAL RD$</t>
  </si>
  <si>
    <t>MARCOS JUAN TRONCOSO MEJIA</t>
  </si>
  <si>
    <t>Ganancia en operaciones cambiarias</t>
  </si>
  <si>
    <t>Pérdida en operaciones cambiarias</t>
  </si>
  <si>
    <t>Cuenta corriente operativa RD$</t>
  </si>
  <si>
    <t>Cuenta corriente nómina RD$</t>
  </si>
  <si>
    <t>MONTO DE LAS CUOTAS DESCONTADAS</t>
  </si>
  <si>
    <r>
      <t xml:space="preserve">CONSTRUCCION LOTE #2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</si>
  <si>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#4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</si>
  <si>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#6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</si>
  <si>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#14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</si>
  <si>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#16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</si>
  <si>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>CONSTRUCCION LOTE #9 DE 15 VIVIENDAS ECONOMICAS, EN SAN JUAN DE LA MAGUANA</t>
    </r>
    <r>
      <rPr>
        <sz val="12"/>
        <color indexed="17"/>
        <rFont val="Arial"/>
        <family val="2"/>
      </rPr>
      <t xml:space="preserve"> 240 VIVIENDAS</t>
    </r>
  </si>
  <si>
    <r>
      <t xml:space="preserve">CONSTRUCCION LOTE #10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</si>
  <si>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#12 DE 15 VIVIENDAS ECONOMICAS, EN SAN JUAN DE LA MAGUANA </t>
    </r>
    <r>
      <rPr>
        <b/>
        <sz val="12"/>
        <color indexed="17"/>
        <rFont val="Arial"/>
        <family val="2"/>
      </rPr>
      <t>240 VIVIENDAS</t>
    </r>
  </si>
  <si>
    <r>
      <t xml:space="preserve">CONSTRUCCION LOTE #4 DE 15 VIVIENDAS ECONOMICAS, EN SAN JUAN DE LA MAGUANA </t>
    </r>
    <r>
      <rPr>
        <sz val="12"/>
        <color indexed="10"/>
        <rFont val="Arial"/>
        <family val="2"/>
      </rPr>
      <t>150 VIVIENDAS</t>
    </r>
  </si>
  <si>
    <r>
      <t>CONSTRUCCION LOTE #7 DE 15 VIVIENDAS ECONOMICAS, EN SAN JUAN DE LA MAGUANA</t>
    </r>
    <r>
      <rPr>
        <sz val="12"/>
        <color indexed="10"/>
        <rFont val="Arial"/>
        <family val="2"/>
      </rPr>
      <t xml:space="preserve"> 150 VIVIENDAS</t>
    </r>
  </si>
  <si>
    <t>Comisión Nacional de Energía</t>
  </si>
  <si>
    <t>CONSTRUCCION DE UN  DESTACAMENTO POLICIAL EN QUITA CORAZA, BARAHONA</t>
  </si>
  <si>
    <t>NO. CHEQUE</t>
  </si>
  <si>
    <r>
      <t xml:space="preserve">SUPLIDOR DE SERVICIO: </t>
    </r>
    <r>
      <rPr>
        <b/>
        <sz val="12"/>
        <rFont val="Arial"/>
        <family val="2"/>
      </rPr>
      <t>QUANTUM</t>
    </r>
  </si>
  <si>
    <r>
      <t xml:space="preserve">ASEGURADORA: </t>
    </r>
    <r>
      <rPr>
        <b/>
        <sz val="12"/>
        <rFont val="Arial"/>
        <family val="2"/>
      </rPr>
      <t>SEGUROS BANRESERVAS</t>
    </r>
  </si>
  <si>
    <t>TOTAL PAGADO</t>
  </si>
  <si>
    <t>ABRIL - OCTUBRE 2023</t>
  </si>
  <si>
    <t>DURACIÓN</t>
  </si>
  <si>
    <t>VALOR RD$</t>
  </si>
  <si>
    <r>
      <t xml:space="preserve">SUPLIDOR DE SERVICIO: </t>
    </r>
    <r>
      <rPr>
        <b/>
        <sz val="12"/>
        <rFont val="Arial"/>
        <family val="2"/>
      </rPr>
      <t>NEVER OFF TECHNOLOGY</t>
    </r>
  </si>
  <si>
    <t>Mobiliario y equipos de oficina</t>
  </si>
  <si>
    <t>Bienes tangibles e intangibles</t>
  </si>
  <si>
    <t>Total Activos Tangibles</t>
  </si>
  <si>
    <t>Total general</t>
  </si>
  <si>
    <t>Total Activos Intangibles</t>
  </si>
  <si>
    <t>VIÁTICOS POR PAGAR</t>
  </si>
  <si>
    <t xml:space="preserve">CUENTAS POR PAGAR POR HONORARIOS CONTRATADOS </t>
  </si>
  <si>
    <t>Armas de fuego</t>
  </si>
  <si>
    <t xml:space="preserve">SERVICIOS GENERALES POR PAGAR </t>
  </si>
  <si>
    <t>PRENDAS DE VESTIR</t>
  </si>
  <si>
    <t>SERVICIOS ESPECIALES</t>
  </si>
  <si>
    <t>ARMAS DE FUEGO</t>
  </si>
  <si>
    <t>PROVISION DE LA BONIFICACION</t>
  </si>
  <si>
    <t>#</t>
  </si>
  <si>
    <t>Conceptos</t>
  </si>
  <si>
    <t>Nómina mes</t>
  </si>
  <si>
    <t>Total provisión</t>
  </si>
  <si>
    <t>Bono Aniversario (fijos, pension, consejo, milit)</t>
  </si>
  <si>
    <t>Bono navidad militares (1.5)</t>
  </si>
  <si>
    <t>Bonos a las secretarias</t>
  </si>
  <si>
    <t>Bono desempeño Fijos (1.0)</t>
  </si>
  <si>
    <r>
      <t>Bono Navidad Fijos  (2.5</t>
    </r>
    <r>
      <rPr>
        <b/>
        <sz val="14"/>
        <color indexed="8"/>
        <rFont val="Calibri"/>
        <family val="2"/>
      </rPr>
      <t>)</t>
    </r>
  </si>
  <si>
    <t>Bono Navidad Consejo  (2.5)</t>
  </si>
  <si>
    <t>ENERO</t>
  </si>
  <si>
    <t>FEBRERO</t>
  </si>
  <si>
    <t>MARZO</t>
  </si>
  <si>
    <t>Total bonificación anual proyectada</t>
  </si>
  <si>
    <t>Entre 12 meses</t>
  </si>
  <si>
    <t>Provisión mensual</t>
  </si>
  <si>
    <t xml:space="preserve">DIVIDIDO  /   12  =  </t>
  </si>
  <si>
    <t>FONPER</t>
  </si>
  <si>
    <t>Cálculo de la actualización de la provision para Regalía navideña</t>
  </si>
  <si>
    <t xml:space="preserve">Militares </t>
  </si>
  <si>
    <t>En via de pensión</t>
  </si>
  <si>
    <t xml:space="preserve">Fijos </t>
  </si>
  <si>
    <t xml:space="preserve">Consejo  </t>
  </si>
  <si>
    <t>Dividido / 12 =</t>
  </si>
  <si>
    <t>Enero</t>
  </si>
  <si>
    <t>Febrero</t>
  </si>
  <si>
    <t>Marzo</t>
  </si>
  <si>
    <t>INVERSIONES KORALIA</t>
  </si>
  <si>
    <t>MARLENY MEDRANO</t>
  </si>
  <si>
    <t>ABRIL</t>
  </si>
  <si>
    <t>Registrado</t>
  </si>
  <si>
    <t>Ajuste</t>
  </si>
  <si>
    <t>Abril</t>
  </si>
  <si>
    <t>MOTYKA, S.R.L.</t>
  </si>
  <si>
    <t>SUB TOTAL</t>
  </si>
  <si>
    <r>
      <t xml:space="preserve">FACT NO.  </t>
    </r>
    <r>
      <rPr>
        <b/>
        <sz val="12"/>
        <rFont val="Arial"/>
        <family val="2"/>
      </rPr>
      <t>B1500000042</t>
    </r>
  </si>
  <si>
    <t>AMORTIZACIÓN MAR/2023</t>
  </si>
  <si>
    <t>AMORTIZACIÓN ABR/2023</t>
  </si>
  <si>
    <t>AMORTIZACIÓN MAY/2023</t>
  </si>
  <si>
    <t>AMORTIZACIÓN JUN/2023</t>
  </si>
  <si>
    <t>AMORTIZACIÓN AGO./2023</t>
  </si>
  <si>
    <t>AMORTIZACIÓN SEP./2023</t>
  </si>
  <si>
    <t>AMORTIZACIÓN OCT./2023</t>
  </si>
  <si>
    <t>AMORTIZACIÓN NOV./2023</t>
  </si>
  <si>
    <t>AMORTIZACIÓN DIC./2023</t>
  </si>
  <si>
    <t>AMORTIZACIÓN ENE./2024</t>
  </si>
  <si>
    <t>AMORTIZACIÓN FEB./2024</t>
  </si>
  <si>
    <t>MARZO  -   DICIEMBRE 2023</t>
  </si>
  <si>
    <t>X  10  =</t>
  </si>
  <si>
    <t>X  2  =</t>
  </si>
  <si>
    <t>10  MESES</t>
  </si>
  <si>
    <t>2  MESES</t>
  </si>
  <si>
    <t>OBRAS MENORES</t>
  </si>
  <si>
    <t>EQUIPOS DE TRANSPORTE</t>
  </si>
  <si>
    <t>Anticipo en compras</t>
  </si>
  <si>
    <t>Cuentas por cobrar mantenimiento Edificio</t>
  </si>
  <si>
    <t>AMORTIZACIÓN FEBRERO / 2023</t>
  </si>
  <si>
    <t>AMORTIZACIÓN NOV. / 2022</t>
  </si>
  <si>
    <t>AMORTIZACIÓN DIC. / 2022</t>
  </si>
  <si>
    <t>AMORTIZACIÓN ENERO / 2023</t>
  </si>
  <si>
    <t>AMORTIZACIÓN MARZO / 2023</t>
  </si>
  <si>
    <t>AMORTIZACIÓN ABRIL / 2023</t>
  </si>
  <si>
    <t>AMORTIZACIÓN MAYO / 2023</t>
  </si>
  <si>
    <t>AMORTIZACIÓN JUNIO / 2023</t>
  </si>
  <si>
    <t>AMORTIZACIÓN AGOSTO / 2023</t>
  </si>
  <si>
    <t>AMORTIZACIÓN SEPTIEMBRE / 2023</t>
  </si>
  <si>
    <t>AMORTIZACIÓN OCTUBRE / 2023</t>
  </si>
  <si>
    <t>DESDE EL 1 MARZO 2023 HASTA EL 28 FEBRERO 2024</t>
  </si>
  <si>
    <t>ENERO   -   FEBRERO 2024</t>
  </si>
  <si>
    <t>Gastos pagados por anticipado</t>
  </si>
  <si>
    <t>INGRESOS POR PARTICIPACIÓN EN EMPRESAS REFORMADAS:</t>
  </si>
  <si>
    <t>TOTAL INGRESOS POR PARTICIPACIÓN EN EMPRESAS REFORMADAS</t>
  </si>
  <si>
    <t>DIETAS EN EL PAÍS</t>
  </si>
  <si>
    <t>GASTOS DE REPRESENTACIÓN</t>
  </si>
  <si>
    <t>SERVICIOS DE CAPACITACIÓN</t>
  </si>
  <si>
    <t>PRODUCTOS DE ARTES GRÁFICAS</t>
  </si>
  <si>
    <t>ÚTILES DE ESCRITORIO, OFICINAS, ENSEÑANZA Y MAT. INFO.</t>
  </si>
  <si>
    <t>VIÁTICOS Y DIETAS PARA SUPERVISAR OBRAS</t>
  </si>
  <si>
    <t>MAYO</t>
  </si>
  <si>
    <t>5101-01-007-002</t>
  </si>
  <si>
    <t xml:space="preserve">     2101-01-002</t>
  </si>
  <si>
    <t>BR - 9605896544</t>
  </si>
  <si>
    <t>BR - 9605896549</t>
  </si>
  <si>
    <t>CUENTA 1104-01-004</t>
  </si>
  <si>
    <t>Compensación almuerzo a militares mayo 2023</t>
  </si>
  <si>
    <t>Compensación horas extras mayo 2023</t>
  </si>
  <si>
    <t>Compensación almuerzo a empleados fijos mayo 2023</t>
  </si>
  <si>
    <t>Total soporte por pagar DGII</t>
  </si>
  <si>
    <t>INVERSIONES EN PATRIMONIO INSTITUCIONAL:</t>
  </si>
  <si>
    <t>EDDY GUTIERREZ</t>
  </si>
  <si>
    <t>Junio 2023</t>
  </si>
  <si>
    <t>INTERESES CERTIFICADOS RD$ BCO. RESERVAS</t>
  </si>
  <si>
    <t>]Intereses certificados RD$ Banreservas</t>
  </si>
  <si>
    <t>Intereses de certificados RD$ BR</t>
  </si>
  <si>
    <t>intereses pendientes de cobro</t>
  </si>
  <si>
    <t>Julio 2023</t>
  </si>
  <si>
    <t>Mayo</t>
  </si>
  <si>
    <t>Junio</t>
  </si>
  <si>
    <t>Julio</t>
  </si>
  <si>
    <t>JUNIO</t>
  </si>
  <si>
    <t>JULIO</t>
  </si>
  <si>
    <t>INVENTARIOS</t>
  </si>
  <si>
    <t>NO.</t>
  </si>
  <si>
    <t>NOMBRE</t>
  </si>
  <si>
    <t>CEDULA</t>
  </si>
  <si>
    <t>FECHA INGRESO</t>
  </si>
  <si>
    <t>NOMBRE PUESTO</t>
  </si>
  <si>
    <t>INGRESOS EMPLEADO FIJO</t>
  </si>
  <si>
    <t xml:space="preserve">Promedio por Día </t>
  </si>
  <si>
    <t xml:space="preserve">DÍAS PENDIENTES </t>
  </si>
  <si>
    <t>AIDA VICTORIA PARDILLA MARTINEZ</t>
  </si>
  <si>
    <t>001-0121439-3</t>
  </si>
  <si>
    <t>ENCARGADA</t>
  </si>
  <si>
    <t>ALCE  ODELL CACERES LEREBOURS</t>
  </si>
  <si>
    <t>011-0030863-2</t>
  </si>
  <si>
    <t>ADMINISTRADOR DE SERVICIOS TIC</t>
  </si>
  <si>
    <t>ANA ILDA NUÑEZ BATISTA</t>
  </si>
  <si>
    <t>001-0170959-0</t>
  </si>
  <si>
    <t>ANALISTA DE GESTIÓN PATRIMONIAL II</t>
  </si>
  <si>
    <t>ANASTASIA ROSAURA  A AVILA UBRI</t>
  </si>
  <si>
    <t>001-0052279-6</t>
  </si>
  <si>
    <t>ANALISTA</t>
  </si>
  <si>
    <t>ANGELINA BAUTISTA PAULA</t>
  </si>
  <si>
    <t>402-2205827-9</t>
  </si>
  <si>
    <t>CONSERJE</t>
  </si>
  <si>
    <t>CARLOS JULIO SUBERVI CARRASCO</t>
  </si>
  <si>
    <t>001-0534439-4</t>
  </si>
  <si>
    <t>CARMEN JULIA PEREZ FERNANDEZ</t>
  </si>
  <si>
    <t>001-0493826-1</t>
  </si>
  <si>
    <t>CAROL JULISSA DIAZ MELO</t>
  </si>
  <si>
    <t>013-0047791-4</t>
  </si>
  <si>
    <t>COORDINADOR (A) ADMINISTRATIVO</t>
  </si>
  <si>
    <t>CELIA M CUEVAS JIMENEZ</t>
  </si>
  <si>
    <t>402-2438784-1</t>
  </si>
  <si>
    <t>CLAUDIO ALBERTO MARTE MERCEDES</t>
  </si>
  <si>
    <t>001-0143945-3</t>
  </si>
  <si>
    <t>CLAUDIO FERNANDEZ HERNANDEZ</t>
  </si>
  <si>
    <t>402-2517466-9</t>
  </si>
  <si>
    <t>ANALISTA DE GESTIÓN PATRIMONIAL I</t>
  </si>
  <si>
    <t>CRISTIAN INOA GARCIA</t>
  </si>
  <si>
    <t>001-1515470-0</t>
  </si>
  <si>
    <t>CHOFER</t>
  </si>
  <si>
    <t>DANIA RODRIGUEZ RODRIGUEZ</t>
  </si>
  <si>
    <t>001-1571913-0</t>
  </si>
  <si>
    <t>DESIREE MARIN GARCIA</t>
  </si>
  <si>
    <t>028-0093660-7</t>
  </si>
  <si>
    <t>COORDINADORA</t>
  </si>
  <si>
    <t>DIANA J ROSARIO POLANCO</t>
  </si>
  <si>
    <t>402-2007014-4</t>
  </si>
  <si>
    <t>DIONICIO EMILIO GUERRERO PEREZ</t>
  </si>
  <si>
    <t>001-1244805-5</t>
  </si>
  <si>
    <t>ANALISTA DE PROYECTOS</t>
  </si>
  <si>
    <t>DOMINGO ALBERTO RODRIGUEZ</t>
  </si>
  <si>
    <t>001-1071664-4</t>
  </si>
  <si>
    <t>EDDY M DOMINGUEZ LINARES</t>
  </si>
  <si>
    <t>001-0286266-1</t>
  </si>
  <si>
    <t>EDGAR  MOISES DUME PEPEN</t>
  </si>
  <si>
    <t>001-0141585-9</t>
  </si>
  <si>
    <t>ENC. SECCIÓN DE CORRESP. Y ARCH</t>
  </si>
  <si>
    <t>EDILI D RAMIREZ RODRIGUEZ</t>
  </si>
  <si>
    <t>014-0019473-2</t>
  </si>
  <si>
    <t>AUXILIAR ADMINISTRATIVO</t>
  </si>
  <si>
    <t>EDWARD ALEXANDER AQUINO ALMONTE</t>
  </si>
  <si>
    <t>223-0177017-2</t>
  </si>
  <si>
    <t>SOPORTE TECNICO</t>
  </si>
  <si>
    <t>EDWIN JOHANNY JIMENEZ</t>
  </si>
  <si>
    <t>001-0554742-6</t>
  </si>
  <si>
    <t>ELIN ALBERTO PENA GERMAN</t>
  </si>
  <si>
    <t>058-0029471-1</t>
  </si>
  <si>
    <t>ADMINISTRADOR DE OPERACIONES TIC</t>
  </si>
  <si>
    <t>ERENIA  ALTAGRACIA ESPAILLAT MARTINEZ</t>
  </si>
  <si>
    <t>001-0253274-4</t>
  </si>
  <si>
    <t>ABOGADO I</t>
  </si>
  <si>
    <t>ESKIBEL JAVIER SANCHEZ VIDAL</t>
  </si>
  <si>
    <t>402-2537848-4</t>
  </si>
  <si>
    <t>EVANGELISTA EUGENIA PEREZ DE LOS SANTOS</t>
  </si>
  <si>
    <t>012-0013831-9</t>
  </si>
  <si>
    <t>FRANCIS GISELLE BUSSI INOA</t>
  </si>
  <si>
    <t>001-1829653-2</t>
  </si>
  <si>
    <t>COORDINADOR (A) DE ARQUITECTURA</t>
  </si>
  <si>
    <t>FRANCISCA SANCHEZ DE LOS SANTOS</t>
  </si>
  <si>
    <t>109-0000646-0</t>
  </si>
  <si>
    <t>FRANKLIN JUAN MEJIA ROCER</t>
  </si>
  <si>
    <t>225-0026178-3</t>
  </si>
  <si>
    <t>MENSAJERO</t>
  </si>
  <si>
    <t>FRANSER DESIREE SOLIS DE LUNA</t>
  </si>
  <si>
    <t>001-1829189-7</t>
  </si>
  <si>
    <t>FREDDY JOSE PEREYRA  ALBERTO</t>
  </si>
  <si>
    <t>001-0735303-9</t>
  </si>
  <si>
    <t>FREILYN PEREZ</t>
  </si>
  <si>
    <t>102-0010147-4</t>
  </si>
  <si>
    <t>TÉCNICO ADMINISTRATIVO</t>
  </si>
  <si>
    <t>GERMAINE D GAZON ROSARIO</t>
  </si>
  <si>
    <t>ISMAEL VALENTIN PENA SANTOS</t>
  </si>
  <si>
    <t>402-2507525-4</t>
  </si>
  <si>
    <t>MENSAJERO EXTERNO</t>
  </si>
  <si>
    <t>JESUS O SANCHEZ TRINIDAD</t>
  </si>
  <si>
    <t>402-2460123-3</t>
  </si>
  <si>
    <t>ANALISTA INFORMÁTICO</t>
  </si>
  <si>
    <t>JORGE LUIS MATEO CASTILLO</t>
  </si>
  <si>
    <t>108-0009768-4</t>
  </si>
  <si>
    <t>JOSE A ALMONTE MARTE</t>
  </si>
  <si>
    <t>049-0044389-8</t>
  </si>
  <si>
    <t>JOSE CESAREO PEGUERO LOPEZ</t>
  </si>
  <si>
    <t>001-0018861-4</t>
  </si>
  <si>
    <t>JOSE E FLORENTINO RODRIGUEZ</t>
  </si>
  <si>
    <t>JOSE MANUEL VALDEZ</t>
  </si>
  <si>
    <t>001-0706570-8</t>
  </si>
  <si>
    <t>SUPERVISOR DE TRANSPORTACIÓN</t>
  </si>
  <si>
    <t>JOSEFINA MERCEDES VEGA BATLLE</t>
  </si>
  <si>
    <t>001-0088614-2</t>
  </si>
  <si>
    <t>VICE-PRESIDENTE</t>
  </si>
  <si>
    <t>JUAN SANTANA H</t>
  </si>
  <si>
    <t>001-1283290-2</t>
  </si>
  <si>
    <t>JUDITH LOPEZ GONZALEZ</t>
  </si>
  <si>
    <t>402-2425148-4</t>
  </si>
  <si>
    <t>ARQUITECTO (A)</t>
  </si>
  <si>
    <t>LADY  MARGARET ESPINAL ROMERO</t>
  </si>
  <si>
    <t>001-1380119-5</t>
  </si>
  <si>
    <t>RELACIONISTA PUBLICO</t>
  </si>
  <si>
    <t>LELIA MARCELL MENDOZA LORA</t>
  </si>
  <si>
    <t>001-1660735-9</t>
  </si>
  <si>
    <t>LEON ALTAGRACIA GOMEZ DIAZ</t>
  </si>
  <si>
    <t>001-1171977-9</t>
  </si>
  <si>
    <t>ASESOR</t>
  </si>
  <si>
    <t>LEONARDO PEREZ</t>
  </si>
  <si>
    <t>001-1066299-6</t>
  </si>
  <si>
    <t>LAVADOR VEHICULOS</t>
  </si>
  <si>
    <t>LEWIS A MEDRANO MORLA</t>
  </si>
  <si>
    <t>026-0086583-2</t>
  </si>
  <si>
    <t>LICET IVANA BELTRE VALERA</t>
  </si>
  <si>
    <t>001-0825565-4</t>
  </si>
  <si>
    <t>ASESOR LEGAL</t>
  </si>
  <si>
    <t>LISBET RODRIGUEZ GUZMAN</t>
  </si>
  <si>
    <t>093-0064646-1</t>
  </si>
  <si>
    <t>LUIS ALFREDO FUCHU ARTILES</t>
  </si>
  <si>
    <t>031-0498373-3</t>
  </si>
  <si>
    <t>LUIS ANTONIO MOQUETE PELLETIER</t>
  </si>
  <si>
    <t>MARIA ELENA ESTRELLA DUARTE</t>
  </si>
  <si>
    <t>224-0033764-2</t>
  </si>
  <si>
    <t>MARIA DEL C HERNANDEZ BASILIO</t>
  </si>
  <si>
    <t>001-0775725-4</t>
  </si>
  <si>
    <t>MARINO ACOSTA GUANTE</t>
  </si>
  <si>
    <t>001-1429953-0</t>
  </si>
  <si>
    <t>AUXILIAR</t>
  </si>
  <si>
    <t>MARLENY A MEDRANO RODRIGUEZ</t>
  </si>
  <si>
    <t>031-0363039-2</t>
  </si>
  <si>
    <t>DIRECTORA</t>
  </si>
  <si>
    <t>MARTHA ARELYS BEATO ABREU</t>
  </si>
  <si>
    <t>031-0073264-7</t>
  </si>
  <si>
    <t>MAXIMO A PERALTA MOREL</t>
  </si>
  <si>
    <t>008-0027053-0</t>
  </si>
  <si>
    <t>MAYRUBI LAZARO VALENZUELA</t>
  </si>
  <si>
    <t>223-0068699-9</t>
  </si>
  <si>
    <t>MERCEDES IVELICES GUZMAN VALERIO</t>
  </si>
  <si>
    <t>001-1370605-5</t>
  </si>
  <si>
    <t>MICHELLE A DIAZ ABAD</t>
  </si>
  <si>
    <t>001-1326863-5</t>
  </si>
  <si>
    <t>MIGUEL ALFONSO DE LA ROSA  ARIAS</t>
  </si>
  <si>
    <t>001-0456132-9</t>
  </si>
  <si>
    <t>NADIA ROSA MARIA BAEZ LOPEZ</t>
  </si>
  <si>
    <t>001-1804822-2</t>
  </si>
  <si>
    <t>NICOLLE HARVEY PICHARDO</t>
  </si>
  <si>
    <t>402-2780308-3</t>
  </si>
  <si>
    <t>SECRETARIA</t>
  </si>
  <si>
    <t>NIKAURY ARACENA MEJIA</t>
  </si>
  <si>
    <t>229-0014511-5</t>
  </si>
  <si>
    <t>MENSAJERA INTERNA</t>
  </si>
  <si>
    <t>NIVIA CLARIBEL QUEZADA  FELIZ DE PEÑA</t>
  </si>
  <si>
    <t>001-0101922-2</t>
  </si>
  <si>
    <t>NYSA MARIA FERREIRA BALBI</t>
  </si>
  <si>
    <t>224-0052301-9</t>
  </si>
  <si>
    <t>RECEPCIONISTA</t>
  </si>
  <si>
    <t>OLIVER SORIANO OVIEDO</t>
  </si>
  <si>
    <t>001-1205212-1</t>
  </si>
  <si>
    <t>INGENIERO DE ESTRUCTURA</t>
  </si>
  <si>
    <t>OMAR DE JESUS COHEN SANDER</t>
  </si>
  <si>
    <t>001-1292739-7</t>
  </si>
  <si>
    <t>OSVALDO PEREZ PIMENTEL</t>
  </si>
  <si>
    <t>001-1809397-0</t>
  </si>
  <si>
    <t>COORDINADOR (A) DE GESTION PATR</t>
  </si>
  <si>
    <t>PEDRO DANIEL ESQUEA MONTILLA</t>
  </si>
  <si>
    <t>068-0031602-5</t>
  </si>
  <si>
    <t>RAFAEL EDUARDO RAMIREZ ISIDOR</t>
  </si>
  <si>
    <t>402-0994729-6</t>
  </si>
  <si>
    <t>RAPHIEL RADNEY ABREU</t>
  </si>
  <si>
    <t>402-3019278-9</t>
  </si>
  <si>
    <t>RICHARD RAMON MEJIA MENDOZA</t>
  </si>
  <si>
    <t>402-2084647-7</t>
  </si>
  <si>
    <t>AUXILIAR DE SUMINISTRO</t>
  </si>
  <si>
    <t>ROQUE ORLANDO MORETA RODRIGUEZ</t>
  </si>
  <si>
    <t>001-1053884-0</t>
  </si>
  <si>
    <t>ROSSY LISVERY VOLQUEZ PEREZ</t>
  </si>
  <si>
    <t>402-2017665-1</t>
  </si>
  <si>
    <t>RUBEN DARIO ALMONTE MATEO</t>
  </si>
  <si>
    <t>001-0929733-3</t>
  </si>
  <si>
    <t>RUDDY LANI GARCIA  ALCANTARA</t>
  </si>
  <si>
    <t>402-4218217-4</t>
  </si>
  <si>
    <t>SALVADOR YGNACIO RICOURT GOMEZ</t>
  </si>
  <si>
    <t>031-0097204-5</t>
  </si>
  <si>
    <t>DIRECTOR</t>
  </si>
  <si>
    <t>SAMUEL JUNIOR ULLOA MARIANO</t>
  </si>
  <si>
    <t>223-0042631-3</t>
  </si>
  <si>
    <t>SARITA MARTINEZ FROMETA</t>
  </si>
  <si>
    <t>001-0491174-8</t>
  </si>
  <si>
    <t>SILVIO J PEREZ VALDEZ</t>
  </si>
  <si>
    <t>001-1848794-1</t>
  </si>
  <si>
    <t>COORDINADOR (A) DE INGENIERIA</t>
  </si>
  <si>
    <t>SOMNE ALTAGRACIA BAEZ TRINIDAD</t>
  </si>
  <si>
    <t>016-0008046-7</t>
  </si>
  <si>
    <t>TOMAS AUGUSTO MENDOZA TORRES</t>
  </si>
  <si>
    <t>001-0180425-0</t>
  </si>
  <si>
    <t>ABOGADO III</t>
  </si>
  <si>
    <t>VERONICA POLANCO REYNOSO</t>
  </si>
  <si>
    <t>229-0017297-8</t>
  </si>
  <si>
    <t>VICTOR M HILARIO LORA</t>
  </si>
  <si>
    <t>001-1814272-8</t>
  </si>
  <si>
    <t>WINSTON POLANCO ROBLES</t>
  </si>
  <si>
    <t>001-1544738-5</t>
  </si>
  <si>
    <t>YANIL STEFANY MEJIA PIMENTEL</t>
  </si>
  <si>
    <t>402-2259310-1</t>
  </si>
  <si>
    <t xml:space="preserve">   / 12   =</t>
  </si>
  <si>
    <t>Pago de vacaciones registrado en jul 23</t>
  </si>
  <si>
    <t>Total deuda</t>
  </si>
  <si>
    <t>Mensual</t>
  </si>
  <si>
    <t>Promedio registro mensual deuda vacac</t>
  </si>
  <si>
    <t>Valor a ajustar</t>
  </si>
  <si>
    <t>DEUDA DE VACACIONES</t>
  </si>
  <si>
    <t>RELACION DEUDAS POR VACACIONES AL MES DE JULIO 2023</t>
  </si>
  <si>
    <t>MEM-DERS</t>
  </si>
  <si>
    <t>OTROS GASTOS DE PROYECTOS</t>
  </si>
  <si>
    <t>Acumulado julio</t>
  </si>
  <si>
    <t>------------------------------------------------------------------------------------------------------------------------------------------</t>
  </si>
  <si>
    <t>EGEITABO</t>
  </si>
  <si>
    <t>----------------------------------------------------------------------------------------------------------------------------------------</t>
  </si>
  <si>
    <t>AL 31 DE AGOSTO DEL 2023</t>
  </si>
  <si>
    <t>AMORTIZACIÓN JUL/2023</t>
  </si>
  <si>
    <t>EQUIPAN,S.R.L.</t>
  </si>
  <si>
    <t>Agosto 2023</t>
  </si>
  <si>
    <t>ACTUALIDADES VD SRL</t>
  </si>
  <si>
    <t>CORAMCA,SRL</t>
  </si>
  <si>
    <t>VALUMONICS, S. A.</t>
  </si>
  <si>
    <t>MDL ALTEKNATIVA TECH, SRL</t>
  </si>
  <si>
    <t>PEOPLE GROUP DOMINICANA P</t>
  </si>
  <si>
    <t>CODETEL</t>
  </si>
  <si>
    <t>MARIA EUGENIA KELNER DE BENITO</t>
  </si>
  <si>
    <t>CESAR ANDRES PICHARDO FERMIN</t>
  </si>
  <si>
    <t>---------------------------------------------------------------------------------------------------------------------------------</t>
  </si>
  <si>
    <t>------------------------------------------------------------------------------------------------------------------------</t>
  </si>
  <si>
    <t>Retención RETENCION ITBIS</t>
  </si>
  <si>
    <t>NEXTWORLD TECHNOLOGY CANADA, S.R.L.</t>
  </si>
  <si>
    <t>BERQUIS DOLORES MORENO</t>
  </si>
  <si>
    <t>ICU SOLUCIONES EMPRESARIALES, SRL</t>
  </si>
  <si>
    <t>GP SOFTWARE &amp; CONSULTING, S.R.L.</t>
  </si>
  <si>
    <t>ISABEL PAULINO</t>
  </si>
  <si>
    <t>CONSTRUCTORA VIASAN &amp; ASOCIADOS, S.R.L.</t>
  </si>
  <si>
    <t>CENTRO AUTOMOTRIZ REMESA ,S.R.L</t>
  </si>
  <si>
    <t>TECNAS, EIRL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</si>
</sst>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.00_);_(* \(#,##0.00\);_(* &quot;-&quot;??_);_(@_)"/>
    <numFmt numFmtId="165" formatCode="_-* #,##0.00_R_D_$_-;\-* #,##0.00_R_D_$_-;_-* &quot;-&quot;??_R_D_$_-;_-@_-"/>
    <numFmt numFmtId="166" formatCode="mmmm\ \-\ yyyy"/>
    <numFmt numFmtId="167" formatCode="_-* #,##0.00\ _P_t_s_-;\-* #,##0.00\ _P_t_s_-;_-* &quot;-&quot;??\ _P_t_s_-;_-@_-"/>
    <numFmt numFmtId="168" formatCode="_(* #,##0_);_(* \(#,##0\);_(* &quot;-&quot;??_);_(@_)"/>
    <numFmt numFmtId="169" formatCode="_(* #,##0.0000_);_(* \(#,##0.0000\);_(* &quot;-&quot;??_);_(@_)"/>
    <numFmt numFmtId="170" formatCode="0.000000000"/>
    <numFmt numFmtId="171" formatCode="0.0000000000"/>
    <numFmt numFmtId="172" formatCode="0000\-00\-00"/>
    <numFmt numFmtId="173" formatCode="[$-409]d\-mmm\-yy;@"/>
    <numFmt numFmtId="174" formatCode="[$-409]dd\-mmm\-yy;@"/>
  </numFmts>
  <fonts count="6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b/>
      <u val="doubleAccounting"/>
      <sz val="12"/>
      <name val="Arial"/>
      <family val="2"/>
    </font>
    <font>
      <b/>
      <sz val="14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i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u val="singleAccounting"/>
      <sz val="12"/>
      <name val="Arial"/>
      <family val="2"/>
    </font>
    <font>
      <b/>
      <i/>
      <sz val="12"/>
      <name val="Arial"/>
      <family val="2"/>
    </font>
    <font>
      <b/>
      <u val="double"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4"/>
      <color indexed="8"/>
      <name val="Calibri"/>
      <family val="2"/>
    </font>
    <font>
      <sz val="17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u val="doubleAccounting"/>
      <sz val="14"/>
      <name val="Calibri"/>
      <family val="2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 val="doubleAccounting"/>
      <sz val="12"/>
      <color theme="1"/>
      <name val="Arial"/>
      <family val="2"/>
    </font>
    <font>
      <u val="singleAccounting"/>
      <sz val="12"/>
      <color theme="1"/>
      <name val="Arial"/>
      <family val="2"/>
    </font>
    <font>
      <b/>
      <sz val="12"/>
      <color rgb="FFFF0000"/>
      <name val="Arial"/>
      <family val="2"/>
    </font>
    <font>
      <u val="doubleAccounting"/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0"/>
      <name val="Arial"/>
      <family val="2"/>
    </font>
    <font>
      <b/>
      <u val="double"/>
      <sz val="12"/>
      <color theme="1"/>
      <name val="Arial"/>
      <family val="2"/>
    </font>
    <font>
      <sz val="12"/>
      <color theme="2" tint="-0.499984740745262"/>
      <name val="Arial"/>
      <family val="2"/>
    </font>
    <font>
      <u val="singleAccounting"/>
      <sz val="12"/>
      <color theme="1" tint="4.9989318521683403E-2"/>
      <name val="Arial"/>
      <family val="2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"/>
      <family val="2"/>
    </font>
    <font>
      <u val="singleAccounting"/>
      <sz val="12"/>
      <color rgb="FFFF0000"/>
      <name val="Arial"/>
      <family val="2"/>
    </font>
    <font>
      <u/>
      <sz val="16"/>
      <color theme="1"/>
      <name val="Calibri"/>
      <family val="2"/>
      <scheme val="minor"/>
    </font>
    <font>
      <sz val="11"/>
      <color rgb="FFFF0000"/>
      <name val="Arial"/>
      <family val="2"/>
    </font>
    <font>
      <sz val="14"/>
      <color theme="1"/>
      <name val="Arial"/>
      <family val="2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14"/>
      <color rgb="FFFF0000"/>
      <name val="Arial"/>
      <family val="2"/>
    </font>
    <font>
      <b/>
      <sz val="14"/>
      <color theme="4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C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36">
    <xf numFmtId="0" fontId="0" fillId="0" borderId="0"/>
    <xf numFmtId="164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2" fillId="0" borderId="0" applyFont="0" applyFill="0" applyBorder="0" applyAlignment="0" applyProtection="0"/>
    <xf numFmtId="165" fontId="32" fillId="0" borderId="0" applyFont="0" applyFill="0" applyBorder="0" applyAlignment="0" applyProtection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3" fillId="2" borderId="0" applyNumberFormat="0" applyBorder="0" applyAlignment="0" applyProtection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5" fillId="3" borderId="33" applyNumberFormat="0" applyFont="0" applyAlignment="0" applyProtection="0"/>
    <xf numFmtId="0" fontId="32" fillId="3" borderId="33" applyNumberFormat="0" applyFont="0" applyAlignment="0" applyProtection="0"/>
    <xf numFmtId="9" fontId="3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34" applyNumberFormat="0" applyFill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16">
    <xf numFmtId="0" fontId="0" fillId="0" borderId="0" xfId="0"/>
    <xf numFmtId="0" fontId="6" fillId="0" borderId="0" xfId="0" applyFont="1"/>
    <xf numFmtId="164" fontId="6" fillId="0" borderId="0" xfId="4" applyFont="1"/>
    <xf numFmtId="164" fontId="6" fillId="0" borderId="1" xfId="4" applyFont="1" applyBorder="1"/>
    <xf numFmtId="164" fontId="6" fillId="0" borderId="0" xfId="4" applyFont="1" applyBorder="1"/>
    <xf numFmtId="164" fontId="6" fillId="0" borderId="0" xfId="4" applyFont="1" applyFill="1" applyBorder="1"/>
    <xf numFmtId="164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164" fontId="6" fillId="0" borderId="0" xfId="4" applyFont="1" applyFill="1"/>
    <xf numFmtId="164" fontId="4" fillId="0" borderId="0" xfId="4" applyFont="1" applyBorder="1"/>
    <xf numFmtId="164" fontId="6" fillId="0" borderId="2" xfId="4" applyFont="1" applyBorder="1"/>
    <xf numFmtId="0" fontId="6" fillId="0" borderId="0" xfId="0" applyFont="1" applyAlignment="1">
      <alignment horizontal="center"/>
    </xf>
    <xf numFmtId="164" fontId="4" fillId="0" borderId="3" xfId="4" applyFont="1" applyBorder="1"/>
    <xf numFmtId="0" fontId="8" fillId="0" borderId="0" xfId="0" applyFont="1" applyAlignment="1">
      <alignment horizontal="center"/>
    </xf>
    <xf numFmtId="164" fontId="4" fillId="0" borderId="0" xfId="4" applyFont="1"/>
    <xf numFmtId="164" fontId="36" fillId="0" borderId="0" xfId="4" applyFont="1"/>
    <xf numFmtId="0" fontId="6" fillId="0" borderId="0" xfId="0" applyFont="1" applyProtection="1">
      <protection locked="0"/>
    </xf>
    <xf numFmtId="164" fontId="6" fillId="0" borderId="0" xfId="4" applyFont="1" applyAlignment="1">
      <alignment horizontal="center"/>
    </xf>
    <xf numFmtId="171" fontId="6" fillId="0" borderId="0" xfId="0" applyNumberFormat="1" applyFont="1"/>
    <xf numFmtId="168" fontId="6" fillId="0" borderId="0" xfId="4" applyNumberFormat="1" applyFont="1"/>
    <xf numFmtId="170" fontId="6" fillId="0" borderId="0" xfId="0" applyNumberFormat="1" applyFont="1"/>
    <xf numFmtId="173" fontId="4" fillId="0" borderId="0" xfId="0" applyNumberFormat="1" applyFont="1" applyAlignment="1">
      <alignment horizontal="center"/>
    </xf>
    <xf numFmtId="0" fontId="6" fillId="0" borderId="2" xfId="0" applyFont="1" applyBorder="1"/>
    <xf numFmtId="164" fontId="4" fillId="0" borderId="2" xfId="4" applyFont="1" applyBorder="1"/>
    <xf numFmtId="164" fontId="10" fillId="0" borderId="2" xfId="4" applyFont="1" applyBorder="1"/>
    <xf numFmtId="0" fontId="6" fillId="0" borderId="4" xfId="0" applyFont="1" applyBorder="1"/>
    <xf numFmtId="164" fontId="6" fillId="0" borderId="4" xfId="4" applyFont="1" applyBorder="1"/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164" fontId="9" fillId="0" borderId="4" xfId="4" applyFont="1" applyBorder="1"/>
    <xf numFmtId="0" fontId="4" fillId="0" borderId="2" xfId="0" applyFont="1" applyBorder="1" applyAlignment="1">
      <alignment horizontal="right"/>
    </xf>
    <xf numFmtId="0" fontId="37" fillId="0" borderId="0" xfId="0" applyFont="1"/>
    <xf numFmtId="164" fontId="38" fillId="0" borderId="0" xfId="6" applyFont="1"/>
    <xf numFmtId="164" fontId="38" fillId="0" borderId="7" xfId="6" applyFont="1" applyBorder="1"/>
    <xf numFmtId="0" fontId="4" fillId="0" borderId="2" xfId="0" applyFont="1" applyBorder="1"/>
    <xf numFmtId="164" fontId="10" fillId="0" borderId="0" xfId="4" applyFont="1" applyBorder="1"/>
    <xf numFmtId="164" fontId="6" fillId="0" borderId="8" xfId="4" applyFont="1" applyBorder="1"/>
    <xf numFmtId="164" fontId="6" fillId="0" borderId="9" xfId="4" applyFont="1" applyBorder="1"/>
    <xf numFmtId="164" fontId="9" fillId="0" borderId="9" xfId="4" applyFont="1" applyBorder="1"/>
    <xf numFmtId="164" fontId="10" fillId="0" borderId="9" xfId="4" applyFont="1" applyBorder="1"/>
    <xf numFmtId="0" fontId="6" fillId="0" borderId="10" xfId="0" applyFont="1" applyBorder="1"/>
    <xf numFmtId="0" fontId="6" fillId="0" borderId="11" xfId="0" applyFont="1" applyBorder="1"/>
    <xf numFmtId="0" fontId="4" fillId="0" borderId="11" xfId="0" applyFont="1" applyBorder="1"/>
    <xf numFmtId="173" fontId="4" fillId="0" borderId="0" xfId="0" applyNumberFormat="1" applyFont="1"/>
    <xf numFmtId="14" fontId="4" fillId="0" borderId="0" xfId="0" applyNumberFormat="1" applyFont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6" fillId="0" borderId="1" xfId="0" applyFont="1" applyBorder="1"/>
    <xf numFmtId="0" fontId="6" fillId="0" borderId="13" xfId="0" applyFont="1" applyBorder="1"/>
    <xf numFmtId="169" fontId="6" fillId="0" borderId="13" xfId="4" applyNumberFormat="1" applyFont="1" applyBorder="1"/>
    <xf numFmtId="0" fontId="4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39" fillId="0" borderId="11" xfId="0" applyFont="1" applyBorder="1"/>
    <xf numFmtId="164" fontId="9" fillId="0" borderId="2" xfId="4" applyFont="1" applyBorder="1"/>
    <xf numFmtId="0" fontId="4" fillId="0" borderId="14" xfId="0" applyFont="1" applyBorder="1"/>
    <xf numFmtId="164" fontId="4" fillId="0" borderId="17" xfId="4" applyFont="1" applyBorder="1"/>
    <xf numFmtId="164" fontId="9" fillId="0" borderId="0" xfId="4" applyFont="1"/>
    <xf numFmtId="0" fontId="36" fillId="0" borderId="0" xfId="0" applyFont="1"/>
    <xf numFmtId="0" fontId="4" fillId="4" borderId="18" xfId="0" applyFont="1" applyFill="1" applyBorder="1" applyAlignment="1">
      <alignment horizontal="center"/>
    </xf>
    <xf numFmtId="0" fontId="40" fillId="4" borderId="5" xfId="0" applyFont="1" applyFill="1" applyBorder="1" applyAlignment="1">
      <alignment horizontal="center"/>
    </xf>
    <xf numFmtId="0" fontId="40" fillId="4" borderId="12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41" fillId="0" borderId="2" xfId="4" applyFont="1" applyBorder="1"/>
    <xf numFmtId="14" fontId="6" fillId="0" borderId="4" xfId="0" applyNumberFormat="1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39" fillId="0" borderId="0" xfId="0" applyFont="1"/>
    <xf numFmtId="0" fontId="40" fillId="0" borderId="0" xfId="0" applyFont="1"/>
    <xf numFmtId="164" fontId="39" fillId="0" borderId="2" xfId="6" applyFont="1" applyBorder="1"/>
    <xf numFmtId="0" fontId="39" fillId="0" borderId="2" xfId="0" applyFont="1" applyBorder="1"/>
    <xf numFmtId="0" fontId="39" fillId="0" borderId="2" xfId="0" applyFont="1" applyBorder="1" applyAlignment="1">
      <alignment horizontal="center"/>
    </xf>
    <xf numFmtId="164" fontId="39" fillId="0" borderId="0" xfId="6" applyFont="1"/>
    <xf numFmtId="164" fontId="39" fillId="0" borderId="10" xfId="6" applyFont="1" applyBorder="1"/>
    <xf numFmtId="164" fontId="39" fillId="0" borderId="8" xfId="6" applyFont="1" applyBorder="1"/>
    <xf numFmtId="164" fontId="39" fillId="0" borderId="11" xfId="6" applyFont="1" applyBorder="1"/>
    <xf numFmtId="164" fontId="39" fillId="0" borderId="9" xfId="6" applyFont="1" applyBorder="1"/>
    <xf numFmtId="164" fontId="42" fillId="0" borderId="9" xfId="6" applyFont="1" applyBorder="1"/>
    <xf numFmtId="164" fontId="40" fillId="0" borderId="11" xfId="6" applyFont="1" applyBorder="1"/>
    <xf numFmtId="164" fontId="39" fillId="0" borderId="14" xfId="6" applyFont="1" applyBorder="1"/>
    <xf numFmtId="164" fontId="39" fillId="0" borderId="16" xfId="6" applyFont="1" applyBorder="1"/>
    <xf numFmtId="0" fontId="6" fillId="0" borderId="2" xfId="0" applyFont="1" applyBorder="1" applyAlignment="1">
      <alignment horizontal="left" wrapText="1"/>
    </xf>
    <xf numFmtId="0" fontId="15" fillId="0" borderId="2" xfId="0" applyFont="1" applyBorder="1"/>
    <xf numFmtId="0" fontId="15" fillId="0" borderId="2" xfId="0" applyFont="1" applyBorder="1" applyAlignment="1">
      <alignment wrapText="1"/>
    </xf>
    <xf numFmtId="4" fontId="4" fillId="0" borderId="0" xfId="0" applyNumberFormat="1" applyFont="1"/>
    <xf numFmtId="4" fontId="36" fillId="0" borderId="0" xfId="0" applyNumberFormat="1" applyFont="1"/>
    <xf numFmtId="0" fontId="43" fillId="0" borderId="0" xfId="0" applyFont="1"/>
    <xf numFmtId="0" fontId="6" fillId="0" borderId="4" xfId="0" applyFont="1" applyBorder="1" applyAlignment="1">
      <alignment horizontal="left"/>
    </xf>
    <xf numFmtId="0" fontId="4" fillId="4" borderId="19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164" fontId="41" fillId="0" borderId="9" xfId="6" applyFont="1" applyBorder="1"/>
    <xf numFmtId="164" fontId="39" fillId="0" borderId="0" xfId="4" applyFont="1"/>
    <xf numFmtId="0" fontId="44" fillId="0" borderId="2" xfId="0" applyFont="1" applyBorder="1"/>
    <xf numFmtId="164" fontId="42" fillId="0" borderId="2" xfId="6" applyFont="1" applyBorder="1"/>
    <xf numFmtId="4" fontId="39" fillId="0" borderId="4" xfId="18" applyNumberFormat="1" applyFont="1" applyBorder="1"/>
    <xf numFmtId="164" fontId="9" fillId="0" borderId="0" xfId="4" applyFont="1" applyBorder="1"/>
    <xf numFmtId="4" fontId="45" fillId="0" borderId="2" xfId="18" applyNumberFormat="1" applyFont="1" applyBorder="1"/>
    <xf numFmtId="164" fontId="4" fillId="0" borderId="0" xfId="4" applyFont="1" applyFill="1" applyAlignment="1">
      <alignment horizontal="center"/>
    </xf>
    <xf numFmtId="164" fontId="4" fillId="4" borderId="17" xfId="6" applyFont="1" applyFill="1" applyBorder="1" applyAlignment="1">
      <alignment horizontal="center"/>
    </xf>
    <xf numFmtId="49" fontId="6" fillId="0" borderId="20" xfId="0" applyNumberFormat="1" applyFont="1" applyBorder="1"/>
    <xf numFmtId="164" fontId="6" fillId="0" borderId="21" xfId="4" applyFont="1" applyBorder="1"/>
    <xf numFmtId="0" fontId="4" fillId="0" borderId="22" xfId="0" applyFont="1" applyBorder="1"/>
    <xf numFmtId="164" fontId="10" fillId="0" borderId="23" xfId="4" applyFont="1" applyBorder="1"/>
    <xf numFmtId="0" fontId="6" fillId="0" borderId="24" xfId="0" applyFont="1" applyBorder="1"/>
    <xf numFmtId="0" fontId="6" fillId="0" borderId="3" xfId="0" applyFont="1" applyBorder="1"/>
    <xf numFmtId="164" fontId="6" fillId="0" borderId="25" xfId="4" applyFont="1" applyBorder="1"/>
    <xf numFmtId="0" fontId="6" fillId="0" borderId="20" xfId="0" applyFont="1" applyBorder="1"/>
    <xf numFmtId="164" fontId="9" fillId="0" borderId="21" xfId="4" applyFont="1" applyBorder="1"/>
    <xf numFmtId="0" fontId="4" fillId="0" borderId="26" xfId="0" applyFont="1" applyBorder="1"/>
    <xf numFmtId="0" fontId="4" fillId="0" borderId="1" xfId="0" applyFont="1" applyBorder="1"/>
    <xf numFmtId="164" fontId="10" fillId="0" borderId="27" xfId="4" applyFont="1" applyBorder="1"/>
    <xf numFmtId="0" fontId="6" fillId="4" borderId="0" xfId="0" applyFont="1" applyFill="1"/>
    <xf numFmtId="164" fontId="6" fillId="4" borderId="0" xfId="4" applyFont="1" applyFill="1"/>
    <xf numFmtId="164" fontId="41" fillId="0" borderId="0" xfId="4" applyFont="1"/>
    <xf numFmtId="0" fontId="6" fillId="5" borderId="0" xfId="0" applyFont="1" applyFill="1"/>
    <xf numFmtId="164" fontId="40" fillId="0" borderId="0" xfId="4" applyFont="1"/>
    <xf numFmtId="0" fontId="6" fillId="5" borderId="2" xfId="0" applyFont="1" applyFill="1" applyBorder="1"/>
    <xf numFmtId="14" fontId="6" fillId="5" borderId="2" xfId="0" applyNumberFormat="1" applyFont="1" applyFill="1" applyBorder="1" applyAlignment="1">
      <alignment horizontal="center"/>
    </xf>
    <xf numFmtId="0" fontId="6" fillId="5" borderId="4" xfId="0" applyFont="1" applyFill="1" applyBorder="1"/>
    <xf numFmtId="0" fontId="6" fillId="5" borderId="4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164" fontId="4" fillId="5" borderId="6" xfId="6" applyFont="1" applyFill="1" applyBorder="1" applyAlignment="1">
      <alignment horizontal="center"/>
    </xf>
    <xf numFmtId="14" fontId="6" fillId="5" borderId="4" xfId="0" applyNumberFormat="1" applyFont="1" applyFill="1" applyBorder="1" applyAlignment="1">
      <alignment horizontal="center"/>
    </xf>
    <xf numFmtId="49" fontId="6" fillId="5" borderId="10" xfId="0" applyNumberFormat="1" applyFont="1" applyFill="1" applyBorder="1"/>
    <xf numFmtId="164" fontId="6" fillId="5" borderId="8" xfId="6" applyFont="1" applyFill="1" applyBorder="1"/>
    <xf numFmtId="0" fontId="4" fillId="5" borderId="14" xfId="0" applyFont="1" applyFill="1" applyBorder="1"/>
    <xf numFmtId="0" fontId="4" fillId="5" borderId="17" xfId="0" applyFont="1" applyFill="1" applyBorder="1"/>
    <xf numFmtId="164" fontId="10" fillId="5" borderId="16" xfId="6" applyFont="1" applyFill="1" applyBorder="1"/>
    <xf numFmtId="0" fontId="6" fillId="5" borderId="10" xfId="0" applyFont="1" applyFill="1" applyBorder="1"/>
    <xf numFmtId="0" fontId="6" fillId="5" borderId="11" xfId="0" applyFont="1" applyFill="1" applyBorder="1"/>
    <xf numFmtId="164" fontId="9" fillId="5" borderId="9" xfId="6" applyFont="1" applyFill="1" applyBorder="1"/>
    <xf numFmtId="164" fontId="9" fillId="5" borderId="8" xfId="6" applyFont="1" applyFill="1" applyBorder="1"/>
    <xf numFmtId="164" fontId="6" fillId="0" borderId="16" xfId="4" applyFont="1" applyBorder="1"/>
    <xf numFmtId="17" fontId="4" fillId="0" borderId="0" xfId="0" applyNumberFormat="1" applyFont="1"/>
    <xf numFmtId="164" fontId="4" fillId="0" borderId="9" xfId="4" applyFont="1" applyBorder="1"/>
    <xf numFmtId="0" fontId="19" fillId="6" borderId="12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center" vertical="center" wrapText="1"/>
    </xf>
    <xf numFmtId="164" fontId="18" fillId="0" borderId="2" xfId="4" applyFont="1" applyBorder="1"/>
    <xf numFmtId="164" fontId="6" fillId="0" borderId="4" xfId="4" applyFont="1" applyFill="1" applyBorder="1"/>
    <xf numFmtId="164" fontId="18" fillId="0" borderId="9" xfId="4" applyFont="1" applyBorder="1"/>
    <xf numFmtId="164" fontId="6" fillId="0" borderId="17" xfId="4" applyFont="1" applyBorder="1"/>
    <xf numFmtId="0" fontId="36" fillId="0" borderId="0" xfId="0" applyFont="1" applyAlignment="1">
      <alignment horizontal="center"/>
    </xf>
    <xf numFmtId="164" fontId="36" fillId="0" borderId="0" xfId="6" applyFont="1"/>
    <xf numFmtId="164" fontId="4" fillId="0" borderId="0" xfId="0" applyNumberFormat="1" applyFont="1" applyAlignment="1">
      <alignment horizontal="center"/>
    </xf>
    <xf numFmtId="14" fontId="4" fillId="0" borderId="0" xfId="0" applyNumberFormat="1" applyFont="1"/>
    <xf numFmtId="174" fontId="4" fillId="0" borderId="0" xfId="0" applyNumberFormat="1" applyFont="1" applyAlignment="1">
      <alignment horizontal="center"/>
    </xf>
    <xf numFmtId="0" fontId="46" fillId="0" borderId="0" xfId="0" applyFont="1"/>
    <xf numFmtId="0" fontId="39" fillId="0" borderId="0" xfId="18" applyFont="1"/>
    <xf numFmtId="0" fontId="39" fillId="0" borderId="11" xfId="18" applyFont="1" applyBorder="1"/>
    <xf numFmtId="164" fontId="6" fillId="0" borderId="9" xfId="4" applyFont="1" applyFill="1" applyBorder="1"/>
    <xf numFmtId="0" fontId="39" fillId="0" borderId="11" xfId="18" applyFont="1" applyBorder="1" applyAlignment="1">
      <alignment wrapText="1"/>
    </xf>
    <xf numFmtId="0" fontId="40" fillId="0" borderId="11" xfId="18" applyFont="1" applyBorder="1"/>
    <xf numFmtId="164" fontId="41" fillId="0" borderId="9" xfId="4" applyFont="1" applyFill="1" applyBorder="1"/>
    <xf numFmtId="0" fontId="39" fillId="0" borderId="10" xfId="18" applyFont="1" applyBorder="1"/>
    <xf numFmtId="4" fontId="6" fillId="0" borderId="9" xfId="0" applyNumberFormat="1" applyFont="1" applyBorder="1"/>
    <xf numFmtId="4" fontId="20" fillId="0" borderId="9" xfId="0" applyNumberFormat="1" applyFont="1" applyBorder="1"/>
    <xf numFmtId="164" fontId="6" fillId="0" borderId="16" xfId="0" applyNumberFormat="1" applyFont="1" applyBorder="1"/>
    <xf numFmtId="4" fontId="8" fillId="0" borderId="8" xfId="0" applyNumberFormat="1" applyFont="1" applyBorder="1"/>
    <xf numFmtId="4" fontId="47" fillId="0" borderId="9" xfId="18" applyNumberFormat="1" applyFont="1" applyBorder="1"/>
    <xf numFmtId="4" fontId="45" fillId="0" borderId="8" xfId="18" applyNumberFormat="1" applyFont="1" applyBorder="1"/>
    <xf numFmtId="0" fontId="4" fillId="0" borderId="28" xfId="0" applyFont="1" applyBorder="1" applyAlignment="1">
      <alignment horizontal="center"/>
    </xf>
    <xf numFmtId="164" fontId="4" fillId="0" borderId="29" xfId="4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64" fontId="4" fillId="0" borderId="28" xfId="4" applyFont="1" applyBorder="1" applyAlignment="1">
      <alignment horizontal="center"/>
    </xf>
    <xf numFmtId="164" fontId="4" fillId="0" borderId="0" xfId="4" applyFont="1" applyAlignment="1"/>
    <xf numFmtId="0" fontId="6" fillId="0" borderId="28" xfId="0" applyFont="1" applyBorder="1"/>
    <xf numFmtId="164" fontId="6" fillId="0" borderId="28" xfId="4" applyFont="1" applyBorder="1"/>
    <xf numFmtId="171" fontId="6" fillId="0" borderId="28" xfId="0" applyNumberFormat="1" applyFont="1" applyBorder="1"/>
    <xf numFmtId="43" fontId="39" fillId="0" borderId="0" xfId="7" applyFont="1"/>
    <xf numFmtId="164" fontId="4" fillId="0" borderId="3" xfId="4" applyFont="1" applyBorder="1" applyAlignment="1">
      <alignment horizontal="center"/>
    </xf>
    <xf numFmtId="168" fontId="6" fillId="0" borderId="0" xfId="4" applyNumberFormat="1" applyFont="1" applyBorder="1"/>
    <xf numFmtId="164" fontId="4" fillId="0" borderId="2" xfId="0" applyNumberFormat="1" applyFont="1" applyBorder="1"/>
    <xf numFmtId="164" fontId="39" fillId="0" borderId="0" xfId="6" applyFont="1" applyAlignment="1">
      <alignment horizontal="right"/>
    </xf>
    <xf numFmtId="0" fontId="40" fillId="0" borderId="0" xfId="18" applyFont="1" applyAlignment="1">
      <alignment horizontal="center"/>
    </xf>
    <xf numFmtId="0" fontId="40" fillId="0" borderId="0" xfId="18" quotePrefix="1" applyFont="1" applyAlignment="1">
      <alignment horizontal="left"/>
    </xf>
    <xf numFmtId="0" fontId="4" fillId="0" borderId="0" xfId="0" applyFont="1" applyAlignment="1">
      <alignment horizontal="left" wrapText="1"/>
    </xf>
    <xf numFmtId="0" fontId="19" fillId="0" borderId="0" xfId="0" applyFont="1" applyAlignment="1">
      <alignment horizontal="center"/>
    </xf>
    <xf numFmtId="0" fontId="6" fillId="0" borderId="0" xfId="0" quotePrefix="1" applyFont="1" applyAlignment="1">
      <alignment horizontal="left"/>
    </xf>
    <xf numFmtId="164" fontId="4" fillId="0" borderId="0" xfId="4" applyFont="1" applyFill="1"/>
    <xf numFmtId="0" fontId="4" fillId="0" borderId="0" xfId="0" applyFont="1" applyAlignment="1">
      <alignment horizontal="left" indent="3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vertical="top"/>
    </xf>
    <xf numFmtId="164" fontId="6" fillId="0" borderId="0" xfId="4" applyFont="1" applyAlignment="1">
      <alignment vertical="top"/>
    </xf>
    <xf numFmtId="164" fontId="48" fillId="0" borderId="0" xfId="4" applyFont="1" applyAlignment="1">
      <alignment vertical="top"/>
    </xf>
    <xf numFmtId="0" fontId="6" fillId="0" borderId="0" xfId="0" applyFont="1" applyAlignment="1" applyProtection="1">
      <alignment vertical="top"/>
      <protection locked="0"/>
    </xf>
    <xf numFmtId="164" fontId="6" fillId="0" borderId="0" xfId="4" applyFont="1" applyAlignment="1">
      <alignment horizontal="center" vertical="top"/>
    </xf>
    <xf numFmtId="164" fontId="6" fillId="0" borderId="9" xfId="6" applyFont="1" applyBorder="1" applyAlignment="1">
      <alignment horizontal="right"/>
    </xf>
    <xf numFmtId="164" fontId="9" fillId="0" borderId="9" xfId="6" applyFont="1" applyBorder="1" applyAlignment="1">
      <alignment horizontal="right"/>
    </xf>
    <xf numFmtId="4" fontId="6" fillId="0" borderId="0" xfId="18" applyNumberFormat="1" applyFont="1"/>
    <xf numFmtId="0" fontId="21" fillId="6" borderId="5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164" fontId="4" fillId="0" borderId="2" xfId="4" applyFont="1" applyFill="1" applyBorder="1"/>
    <xf numFmtId="164" fontId="6" fillId="0" borderId="2" xfId="4" applyFont="1" applyFill="1" applyBorder="1"/>
    <xf numFmtId="164" fontId="9" fillId="0" borderId="2" xfId="4" applyFont="1" applyFill="1" applyBorder="1"/>
    <xf numFmtId="164" fontId="18" fillId="0" borderId="2" xfId="4" applyFont="1" applyFill="1" applyBorder="1"/>
    <xf numFmtId="164" fontId="10" fillId="0" borderId="2" xfId="4" applyFont="1" applyFill="1" applyBorder="1"/>
    <xf numFmtId="164" fontId="6" fillId="0" borderId="17" xfId="4" applyFont="1" applyFill="1" applyBorder="1"/>
    <xf numFmtId="164" fontId="22" fillId="0" borderId="0" xfId="4" applyFont="1"/>
    <xf numFmtId="17" fontId="23" fillId="0" borderId="0" xfId="0" applyNumberFormat="1" applyFont="1"/>
    <xf numFmtId="164" fontId="9" fillId="0" borderId="4" xfId="4" applyFont="1" applyFill="1" applyBorder="1"/>
    <xf numFmtId="164" fontId="7" fillId="0" borderId="0" xfId="0" applyNumberFormat="1" applyFont="1"/>
    <xf numFmtId="164" fontId="36" fillId="0" borderId="0" xfId="0" applyNumberFormat="1" applyFont="1"/>
    <xf numFmtId="4" fontId="32" fillId="0" borderId="0" xfId="18" applyNumberFormat="1"/>
    <xf numFmtId="164" fontId="32" fillId="0" borderId="0" xfId="6" applyFont="1"/>
    <xf numFmtId="164" fontId="22" fillId="0" borderId="0" xfId="6" applyFont="1"/>
    <xf numFmtId="0" fontId="21" fillId="7" borderId="5" xfId="0" applyFont="1" applyFill="1" applyBorder="1" applyAlignment="1">
      <alignment horizontal="center" vertical="center" wrapText="1"/>
    </xf>
    <xf numFmtId="0" fontId="19" fillId="7" borderId="12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164" fontId="6" fillId="0" borderId="4" xfId="6" applyFont="1" applyBorder="1"/>
    <xf numFmtId="164" fontId="6" fillId="0" borderId="4" xfId="6" applyFont="1" applyFill="1" applyBorder="1"/>
    <xf numFmtId="164" fontId="6" fillId="0" borderId="8" xfId="6" applyFont="1" applyBorder="1"/>
    <xf numFmtId="164" fontId="6" fillId="0" borderId="2" xfId="6" applyFont="1" applyFill="1" applyBorder="1"/>
    <xf numFmtId="164" fontId="6" fillId="0" borderId="2" xfId="6" applyFont="1" applyBorder="1"/>
    <xf numFmtId="164" fontId="6" fillId="0" borderId="9" xfId="6" applyFont="1" applyBorder="1"/>
    <xf numFmtId="164" fontId="9" fillId="0" borderId="2" xfId="6" applyFont="1" applyFill="1" applyBorder="1"/>
    <xf numFmtId="164" fontId="9" fillId="0" borderId="4" xfId="6" applyFont="1" applyFill="1" applyBorder="1"/>
    <xf numFmtId="164" fontId="9" fillId="0" borderId="2" xfId="6" applyFont="1" applyBorder="1"/>
    <xf numFmtId="164" fontId="9" fillId="0" borderId="9" xfId="6" applyFont="1" applyBorder="1"/>
    <xf numFmtId="164" fontId="4" fillId="0" borderId="2" xfId="6" applyFont="1" applyBorder="1"/>
    <xf numFmtId="164" fontId="4" fillId="0" borderId="2" xfId="6" applyFont="1" applyFill="1" applyBorder="1"/>
    <xf numFmtId="164" fontId="4" fillId="0" borderId="9" xfId="6" applyFont="1" applyFill="1" applyBorder="1"/>
    <xf numFmtId="164" fontId="4" fillId="0" borderId="9" xfId="6" applyFont="1" applyBorder="1"/>
    <xf numFmtId="164" fontId="49" fillId="0" borderId="4" xfId="6" applyFont="1" applyFill="1" applyBorder="1"/>
    <xf numFmtId="164" fontId="18" fillId="0" borderId="2" xfId="6" applyFont="1" applyBorder="1"/>
    <xf numFmtId="164" fontId="18" fillId="0" borderId="2" xfId="6" applyFont="1" applyFill="1" applyBorder="1"/>
    <xf numFmtId="164" fontId="18" fillId="0" borderId="9" xfId="6" applyFont="1" applyFill="1" applyBorder="1"/>
    <xf numFmtId="164" fontId="10" fillId="0" borderId="2" xfId="6" applyFont="1" applyBorder="1"/>
    <xf numFmtId="164" fontId="10" fillId="0" borderId="9" xfId="6" applyFont="1" applyBorder="1"/>
    <xf numFmtId="164" fontId="6" fillId="0" borderId="17" xfId="6" applyFont="1" applyBorder="1"/>
    <xf numFmtId="164" fontId="6" fillId="0" borderId="17" xfId="6" applyFont="1" applyFill="1" applyBorder="1"/>
    <xf numFmtId="164" fontId="6" fillId="0" borderId="16" xfId="6" applyFont="1" applyBorder="1"/>
    <xf numFmtId="164" fontId="6" fillId="0" borderId="0" xfId="6" applyFont="1"/>
    <xf numFmtId="0" fontId="21" fillId="8" borderId="5" xfId="0" applyFont="1" applyFill="1" applyBorder="1" applyAlignment="1">
      <alignment horizontal="center" vertical="center" wrapText="1"/>
    </xf>
    <xf numFmtId="0" fontId="19" fillId="8" borderId="12" xfId="0" applyFont="1" applyFill="1" applyBorder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 wrapText="1"/>
    </xf>
    <xf numFmtId="164" fontId="9" fillId="0" borderId="8" xfId="6" applyFont="1" applyBorder="1"/>
    <xf numFmtId="164" fontId="0" fillId="0" borderId="0" xfId="4" applyFont="1" applyFill="1"/>
    <xf numFmtId="164" fontId="0" fillId="0" borderId="0" xfId="0" applyNumberFormat="1"/>
    <xf numFmtId="0" fontId="37" fillId="0" borderId="0" xfId="0" applyFont="1" applyAlignment="1">
      <alignment vertical="center"/>
    </xf>
    <xf numFmtId="0" fontId="50" fillId="0" borderId="0" xfId="0" applyFont="1" applyAlignment="1">
      <alignment wrapText="1"/>
    </xf>
    <xf numFmtId="164" fontId="51" fillId="0" borderId="0" xfId="6" applyFont="1" applyAlignment="1">
      <alignment wrapText="1"/>
    </xf>
    <xf numFmtId="0" fontId="50" fillId="0" borderId="0" xfId="0" applyFont="1"/>
    <xf numFmtId="164" fontId="51" fillId="0" borderId="0" xfId="6" applyFont="1"/>
    <xf numFmtId="0" fontId="51" fillId="0" borderId="0" xfId="0" applyFont="1"/>
    <xf numFmtId="164" fontId="38" fillId="0" borderId="0" xfId="6" applyFont="1" applyBorder="1"/>
    <xf numFmtId="0" fontId="2" fillId="0" borderId="0" xfId="0" applyFont="1"/>
    <xf numFmtId="164" fontId="12" fillId="0" borderId="0" xfId="4" applyFont="1"/>
    <xf numFmtId="164" fontId="12" fillId="0" borderId="7" xfId="4" applyFont="1" applyBorder="1"/>
    <xf numFmtId="164" fontId="52" fillId="0" borderId="0" xfId="6" applyFont="1"/>
    <xf numFmtId="164" fontId="52" fillId="0" borderId="7" xfId="6" applyFont="1" applyBorder="1"/>
    <xf numFmtId="164" fontId="53" fillId="0" borderId="0" xfId="6" applyFont="1"/>
    <xf numFmtId="164" fontId="0" fillId="0" borderId="0" xfId="6" applyFont="1"/>
    <xf numFmtId="164" fontId="36" fillId="0" borderId="0" xfId="4" applyFont="1" applyAlignment="1">
      <alignment horizontal="center"/>
    </xf>
    <xf numFmtId="164" fontId="6" fillId="0" borderId="8" xfId="6" applyFont="1" applyFill="1" applyBorder="1" applyAlignment="1">
      <alignment horizontal="right"/>
    </xf>
    <xf numFmtId="164" fontId="25" fillId="0" borderId="0" xfId="4" applyFont="1"/>
    <xf numFmtId="164" fontId="25" fillId="0" borderId="0" xfId="0" applyNumberFormat="1" applyFont="1"/>
    <xf numFmtId="0" fontId="25" fillId="0" borderId="0" xfId="0" applyFont="1"/>
    <xf numFmtId="164" fontId="26" fillId="0" borderId="0" xfId="4" applyFont="1"/>
    <xf numFmtId="0" fontId="2" fillId="9" borderId="30" xfId="0" applyFont="1" applyFill="1" applyBorder="1"/>
    <xf numFmtId="164" fontId="38" fillId="9" borderId="31" xfId="6" applyFont="1" applyFill="1" applyBorder="1"/>
    <xf numFmtId="164" fontId="4" fillId="0" borderId="7" xfId="0" applyNumberFormat="1" applyFont="1" applyBorder="1"/>
    <xf numFmtId="164" fontId="54" fillId="0" borderId="0" xfId="4" applyFont="1"/>
    <xf numFmtId="164" fontId="32" fillId="0" borderId="0" xfId="4" applyFont="1"/>
    <xf numFmtId="0" fontId="32" fillId="0" borderId="0" xfId="18"/>
    <xf numFmtId="164" fontId="4" fillId="0" borderId="0" xfId="4" applyFont="1" applyFill="1" applyBorder="1"/>
    <xf numFmtId="164" fontId="39" fillId="0" borderId="2" xfId="0" applyNumberFormat="1" applyFont="1" applyBorder="1"/>
    <xf numFmtId="0" fontId="40" fillId="0" borderId="2" xfId="0" applyFont="1" applyBorder="1" applyAlignment="1">
      <alignment horizontal="center"/>
    </xf>
    <xf numFmtId="0" fontId="40" fillId="0" borderId="2" xfId="0" applyFont="1" applyBorder="1"/>
    <xf numFmtId="164" fontId="41" fillId="0" borderId="2" xfId="0" applyNumberFormat="1" applyFont="1" applyBorder="1"/>
    <xf numFmtId="0" fontId="41" fillId="0" borderId="2" xfId="0" applyFont="1" applyBorder="1"/>
    <xf numFmtId="0" fontId="39" fillId="0" borderId="4" xfId="0" applyFont="1" applyBorder="1" applyAlignment="1">
      <alignment horizontal="center"/>
    </xf>
    <xf numFmtId="0" fontId="39" fillId="0" borderId="4" xfId="0" applyFont="1" applyBorder="1"/>
    <xf numFmtId="164" fontId="39" fillId="0" borderId="4" xfId="6" applyFont="1" applyBorder="1"/>
    <xf numFmtId="164" fontId="39" fillId="0" borderId="4" xfId="0" applyNumberFormat="1" applyFont="1" applyBorder="1"/>
    <xf numFmtId="0" fontId="40" fillId="10" borderId="5" xfId="0" applyFont="1" applyFill="1" applyBorder="1" applyAlignment="1">
      <alignment horizontal="center" vertical="center"/>
    </xf>
    <xf numFmtId="0" fontId="40" fillId="10" borderId="12" xfId="0" applyFont="1" applyFill="1" applyBorder="1" applyAlignment="1">
      <alignment horizontal="center" vertical="center"/>
    </xf>
    <xf numFmtId="0" fontId="40" fillId="10" borderId="12" xfId="0" applyFont="1" applyFill="1" applyBorder="1" applyAlignment="1">
      <alignment horizontal="center" vertical="center" wrapText="1"/>
    </xf>
    <xf numFmtId="0" fontId="40" fillId="10" borderId="6" xfId="0" applyFont="1" applyFill="1" applyBorder="1" applyAlignment="1">
      <alignment horizontal="center" vertical="center" wrapText="1"/>
    </xf>
    <xf numFmtId="164" fontId="41" fillId="0" borderId="0" xfId="4" applyFont="1" applyBorder="1"/>
    <xf numFmtId="164" fontId="55" fillId="0" borderId="0" xfId="4" applyFont="1"/>
    <xf numFmtId="0" fontId="51" fillId="6" borderId="0" xfId="0" applyFont="1" applyFill="1" applyAlignment="1">
      <alignment horizontal="center"/>
    </xf>
    <xf numFmtId="0" fontId="56" fillId="6" borderId="0" xfId="0" applyFont="1" applyFill="1" applyAlignment="1">
      <alignment horizontal="center"/>
    </xf>
    <xf numFmtId="164" fontId="56" fillId="6" borderId="0" xfId="6" applyFont="1" applyFill="1" applyAlignment="1">
      <alignment horizontal="center"/>
    </xf>
    <xf numFmtId="0" fontId="57" fillId="0" borderId="0" xfId="0" applyFont="1" applyAlignment="1">
      <alignment horizontal="center" vertical="center"/>
    </xf>
    <xf numFmtId="0" fontId="6" fillId="11" borderId="0" xfId="0" applyFont="1" applyFill="1"/>
    <xf numFmtId="164" fontId="6" fillId="11" borderId="0" xfId="0" applyNumberFormat="1" applyFont="1" applyFill="1"/>
    <xf numFmtId="0" fontId="43" fillId="12" borderId="0" xfId="0" applyFont="1" applyFill="1" applyAlignment="1">
      <alignment horizontal="center" vertical="center"/>
    </xf>
    <xf numFmtId="4" fontId="7" fillId="0" borderId="0" xfId="0" applyNumberFormat="1" applyFont="1"/>
    <xf numFmtId="0" fontId="2" fillId="0" borderId="11" xfId="0" applyFont="1" applyBorder="1"/>
    <xf numFmtId="164" fontId="2" fillId="0" borderId="9" xfId="6" applyFont="1" applyBorder="1" applyAlignment="1">
      <alignment horizontal="right"/>
    </xf>
    <xf numFmtId="164" fontId="29" fillId="0" borderId="15" xfId="4" applyFont="1" applyBorder="1"/>
    <xf numFmtId="164" fontId="4" fillId="0" borderId="0" xfId="4" applyFont="1" applyFill="1" applyAlignment="1"/>
    <xf numFmtId="164" fontId="42" fillId="0" borderId="2" xfId="0" applyNumberFormat="1" applyFont="1" applyBorder="1"/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27" fillId="0" borderId="4" xfId="0" applyFont="1" applyBorder="1"/>
    <xf numFmtId="4" fontId="58" fillId="0" borderId="4" xfId="18" applyNumberFormat="1" applyFont="1" applyBorder="1"/>
    <xf numFmtId="0" fontId="27" fillId="0" borderId="15" xfId="0" applyFont="1" applyBorder="1"/>
    <xf numFmtId="4" fontId="27" fillId="0" borderId="15" xfId="0" applyNumberFormat="1" applyFont="1" applyBorder="1"/>
    <xf numFmtId="164" fontId="18" fillId="0" borderId="9" xfId="6" applyFont="1" applyBorder="1"/>
    <xf numFmtId="0" fontId="0" fillId="10" borderId="2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164" fontId="0" fillId="0" borderId="2" xfId="6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4" fontId="0" fillId="0" borderId="2" xfId="6" applyFont="1" applyFill="1" applyBorder="1" applyAlignment="1">
      <alignment vertical="center"/>
    </xf>
    <xf numFmtId="0" fontId="0" fillId="0" borderId="0" xfId="0" applyAlignment="1">
      <alignment vertical="center"/>
    </xf>
    <xf numFmtId="0" fontId="59" fillId="0" borderId="2" xfId="0" quotePrefix="1" applyFont="1" applyBorder="1" applyAlignment="1">
      <alignment vertical="center"/>
    </xf>
    <xf numFmtId="14" fontId="59" fillId="0" borderId="2" xfId="0" applyNumberFormat="1" applyFont="1" applyBorder="1" applyAlignment="1">
      <alignment horizontal="center" vertical="center"/>
    </xf>
    <xf numFmtId="4" fontId="59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164" fontId="29" fillId="7" borderId="0" xfId="0" applyNumberFormat="1" applyFont="1" applyFill="1" applyAlignment="1">
      <alignment vertical="center"/>
    </xf>
    <xf numFmtId="164" fontId="0" fillId="0" borderId="0" xfId="4" applyFont="1"/>
    <xf numFmtId="164" fontId="0" fillId="0" borderId="7" xfId="4" applyFont="1" applyBorder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9" fillId="0" borderId="7" xfId="4" applyFont="1" applyBorder="1"/>
    <xf numFmtId="0" fontId="60" fillId="0" borderId="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30" fillId="0" borderId="2" xfId="0" applyFont="1" applyBorder="1" applyAlignment="1">
      <alignment vertical="center" wrapText="1"/>
    </xf>
    <xf numFmtId="0" fontId="60" fillId="0" borderId="2" xfId="0" applyFont="1" applyBorder="1" applyAlignment="1">
      <alignment vertical="center" wrapText="1"/>
    </xf>
    <xf numFmtId="0" fontId="22" fillId="10" borderId="2" xfId="0" applyFont="1" applyFill="1" applyBorder="1" applyAlignment="1">
      <alignment horizontal="center" vertical="center" wrapText="1"/>
    </xf>
    <xf numFmtId="164" fontId="4" fillId="0" borderId="8" xfId="4" applyFont="1" applyFill="1" applyBorder="1"/>
    <xf numFmtId="164" fontId="4" fillId="0" borderId="9" xfId="4" applyFont="1" applyFill="1" applyBorder="1"/>
    <xf numFmtId="164" fontId="31" fillId="0" borderId="9" xfId="4" applyFont="1" applyBorder="1"/>
    <xf numFmtId="0" fontId="4" fillId="0" borderId="0" xfId="0" applyFont="1" applyAlignment="1">
      <alignment wrapText="1"/>
    </xf>
    <xf numFmtId="0" fontId="39" fillId="0" borderId="0" xfId="18" applyFont="1" applyAlignment="1">
      <alignment horizontal="center"/>
    </xf>
    <xf numFmtId="164" fontId="39" fillId="0" borderId="0" xfId="4" applyFont="1" applyFill="1"/>
    <xf numFmtId="0" fontId="11" fillId="0" borderId="0" xfId="0" applyFont="1"/>
    <xf numFmtId="0" fontId="11" fillId="0" borderId="0" xfId="0" applyFont="1" applyAlignment="1">
      <alignment horizontal="center"/>
    </xf>
    <xf numFmtId="0" fontId="27" fillId="0" borderId="0" xfId="0" applyFont="1"/>
    <xf numFmtId="164" fontId="27" fillId="0" borderId="0" xfId="4" applyFont="1"/>
    <xf numFmtId="164" fontId="27" fillId="0" borderId="0" xfId="0" applyNumberFormat="1" applyFont="1"/>
    <xf numFmtId="164" fontId="11" fillId="0" borderId="13" xfId="4" applyFont="1" applyBorder="1" applyAlignment="1">
      <alignment horizontal="center" vertical="center" wrapText="1"/>
    </xf>
    <xf numFmtId="164" fontId="40" fillId="0" borderId="0" xfId="18" applyNumberFormat="1" applyFont="1" applyAlignment="1">
      <alignment horizontal="center"/>
    </xf>
    <xf numFmtId="0" fontId="27" fillId="0" borderId="0" xfId="0" applyFont="1" applyAlignment="1">
      <alignment horizontal="center"/>
    </xf>
    <xf numFmtId="164" fontId="6" fillId="0" borderId="0" xfId="4" applyFont="1" applyAlignment="1"/>
    <xf numFmtId="164" fontId="36" fillId="0" borderId="0" xfId="4" applyFont="1" applyAlignment="1"/>
    <xf numFmtId="0" fontId="8" fillId="0" borderId="0" xfId="0" applyFont="1"/>
    <xf numFmtId="164" fontId="4" fillId="0" borderId="3" xfId="4" applyFont="1" applyBorder="1" applyAlignment="1"/>
    <xf numFmtId="164" fontId="6" fillId="0" borderId="0" xfId="4" applyFont="1" applyBorder="1" applyAlignment="1"/>
    <xf numFmtId="164" fontId="6" fillId="0" borderId="1" xfId="4" applyFont="1" applyBorder="1" applyAlignment="1"/>
    <xf numFmtId="164" fontId="4" fillId="0" borderId="7" xfId="4" applyFont="1" applyBorder="1" applyAlignment="1"/>
    <xf numFmtId="164" fontId="48" fillId="0" borderId="0" xfId="4" applyFont="1" applyAlignment="1"/>
    <xf numFmtId="164" fontId="6" fillId="0" borderId="0" xfId="4" applyFont="1" applyFill="1" applyAlignment="1"/>
    <xf numFmtId="164" fontId="6" fillId="0" borderId="0" xfId="4" applyFont="1" applyFill="1" applyBorder="1" applyAlignment="1"/>
    <xf numFmtId="0" fontId="4" fillId="0" borderId="0" xfId="0" applyFont="1" applyAlignment="1">
      <alignment horizontal="left"/>
    </xf>
    <xf numFmtId="164" fontId="27" fillId="0" borderId="0" xfId="4" applyFont="1" applyFill="1"/>
    <xf numFmtId="0" fontId="61" fillId="0" borderId="0" xfId="0" applyFont="1"/>
    <xf numFmtId="14" fontId="27" fillId="0" borderId="0" xfId="0" applyNumberFormat="1" applyFont="1"/>
    <xf numFmtId="166" fontId="27" fillId="0" borderId="0" xfId="0" applyNumberFormat="1" applyFont="1" applyAlignment="1" applyProtection="1">
      <alignment horizontal="center"/>
      <protection locked="0"/>
    </xf>
    <xf numFmtId="166" fontId="27" fillId="0" borderId="0" xfId="0" applyNumberFormat="1" applyFont="1" applyAlignment="1">
      <alignment horizontal="center"/>
    </xf>
    <xf numFmtId="0" fontId="27" fillId="0" borderId="0" xfId="0" applyFont="1" applyAlignment="1">
      <alignment vertical="center"/>
    </xf>
    <xf numFmtId="164" fontId="27" fillId="0" borderId="0" xfId="4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/>
    <xf numFmtId="49" fontId="11" fillId="0" borderId="0" xfId="0" applyNumberFormat="1" applyFont="1" applyProtection="1">
      <protection locked="0"/>
    </xf>
    <xf numFmtId="166" fontId="27" fillId="0" borderId="0" xfId="0" applyNumberFormat="1" applyFont="1" applyProtection="1">
      <protection locked="0"/>
    </xf>
    <xf numFmtId="164" fontId="27" fillId="0" borderId="0" xfId="4" applyFont="1" applyAlignment="1"/>
    <xf numFmtId="0" fontId="58" fillId="0" borderId="0" xfId="18" applyFont="1"/>
    <xf numFmtId="164" fontId="11" fillId="0" borderId="0" xfId="4" applyFont="1" applyBorder="1" applyAlignment="1">
      <alignment horizontal="center" vertical="center" wrapText="1"/>
    </xf>
    <xf numFmtId="0" fontId="11" fillId="13" borderId="2" xfId="0" applyFont="1" applyFill="1" applyBorder="1" applyAlignment="1">
      <alignment horizontal="center"/>
    </xf>
    <xf numFmtId="49" fontId="11" fillId="13" borderId="13" xfId="0" applyNumberFormat="1" applyFont="1" applyFill="1" applyBorder="1" applyAlignment="1">
      <alignment horizontal="center"/>
    </xf>
    <xf numFmtId="49" fontId="11" fillId="13" borderId="23" xfId="0" applyNumberFormat="1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32" fillId="0" borderId="2" xfId="18" applyBorder="1"/>
    <xf numFmtId="4" fontId="51" fillId="0" borderId="2" xfId="18" applyNumberFormat="1" applyFont="1" applyBorder="1"/>
    <xf numFmtId="4" fontId="39" fillId="0" borderId="9" xfId="18" applyNumberFormat="1" applyFont="1" applyBorder="1"/>
    <xf numFmtId="164" fontId="6" fillId="0" borderId="14" xfId="0" applyNumberFormat="1" applyFont="1" applyBorder="1"/>
    <xf numFmtId="164" fontId="1" fillId="0" borderId="0" xfId="35" applyFont="1" applyAlignment="1">
      <alignment horizontal="right"/>
    </xf>
    <xf numFmtId="0" fontId="7" fillId="0" borderId="10" xfId="0" applyFont="1" applyBorder="1"/>
    <xf numFmtId="0" fontId="6" fillId="0" borderId="37" xfId="0" applyFont="1" applyBorder="1"/>
    <xf numFmtId="164" fontId="10" fillId="0" borderId="38" xfId="4" applyFont="1" applyBorder="1"/>
    <xf numFmtId="164" fontId="4" fillId="0" borderId="38" xfId="4" applyFont="1" applyBorder="1"/>
    <xf numFmtId="164" fontId="4" fillId="0" borderId="39" xfId="4" applyFont="1" applyBorder="1"/>
    <xf numFmtId="164" fontId="6" fillId="0" borderId="0" xfId="4" applyFont="1" applyAlignment="1">
      <alignment horizontal="center"/>
    </xf>
    <xf numFmtId="0" fontId="11" fillId="0" borderId="0" xfId="0" applyFont="1" applyAlignment="1">
      <alignment horizontal="center"/>
    </xf>
    <xf numFmtId="0" fontId="62" fillId="0" borderId="0" xfId="0" applyFont="1" applyAlignment="1">
      <alignment horizontal="center"/>
    </xf>
    <xf numFmtId="49" fontId="11" fillId="0" borderId="0" xfId="0" applyNumberFormat="1" applyFont="1" applyAlignment="1" applyProtection="1">
      <alignment horizontal="center"/>
      <protection locked="0"/>
    </xf>
    <xf numFmtId="166" fontId="27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top"/>
    </xf>
    <xf numFmtId="164" fontId="6" fillId="0" borderId="0" xfId="4" applyFont="1" applyAlignment="1">
      <alignment horizontal="center" vertical="top"/>
    </xf>
    <xf numFmtId="49" fontId="11" fillId="13" borderId="13" xfId="0" applyNumberFormat="1" applyFont="1" applyFill="1" applyBorder="1" applyAlignment="1">
      <alignment horizontal="center"/>
    </xf>
    <xf numFmtId="49" fontId="11" fillId="13" borderId="2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73" fontId="4" fillId="0" borderId="0" xfId="0" applyNumberFormat="1" applyFont="1" applyAlignment="1">
      <alignment horizontal="center"/>
    </xf>
    <xf numFmtId="0" fontId="15" fillId="0" borderId="28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4" fillId="4" borderId="32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/>
    </xf>
    <xf numFmtId="174" fontId="40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174" fontId="4" fillId="0" borderId="0" xfId="0" applyNumberFormat="1" applyFont="1" applyAlignment="1">
      <alignment horizontal="center"/>
    </xf>
    <xf numFmtId="0" fontId="11" fillId="6" borderId="0" xfId="0" applyFont="1" applyFill="1" applyAlignment="1">
      <alignment horizontal="center" vertical="center"/>
    </xf>
    <xf numFmtId="0" fontId="28" fillId="12" borderId="0" xfId="0" applyFont="1" applyFill="1" applyAlignment="1">
      <alignment horizontal="center" vertical="center"/>
    </xf>
    <xf numFmtId="0" fontId="63" fillId="6" borderId="0" xfId="0" applyFont="1" applyFill="1" applyAlignment="1">
      <alignment horizontal="center"/>
    </xf>
    <xf numFmtId="0" fontId="64" fillId="0" borderId="0" xfId="0" applyFont="1" applyAlignment="1">
      <alignment horizontal="center"/>
    </xf>
    <xf numFmtId="0" fontId="4" fillId="12" borderId="0" xfId="0" applyFont="1" applyFill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</cellXfs>
  <cellStyles count="36">
    <cellStyle name="Comma 2" xfId="1"/>
    <cellStyle name="Comma 2 2" xfId="2"/>
    <cellStyle name="Comma 3" xfId="3"/>
    <cellStyle name="Millares" xfId="4" builtinId="3"/>
    <cellStyle name="Millares 2" xfId="5"/>
    <cellStyle name="Millares 2 2" xfId="6"/>
    <cellStyle name="Millares 3" xfId="7"/>
    <cellStyle name="Millares 3 2" xfId="8"/>
    <cellStyle name="Millares 4" xfId="9"/>
    <cellStyle name="Millares 5" xfId="10"/>
    <cellStyle name="Millares 6" xfId="11"/>
    <cellStyle name="Millares 7" xfId="12"/>
    <cellStyle name="Millares 8" xfId="13"/>
    <cellStyle name="Millares 9" xfId="35"/>
    <cellStyle name="Neutral" xfId="14" builtinId="28" customBuiltin="1"/>
    <cellStyle name="Neutral 2" xfId="15"/>
    <cellStyle name="Neutral 3" xfId="16"/>
    <cellStyle name="Neutral 4" xfId="17"/>
    <cellStyle name="Normal" xfId="0" builtinId="0"/>
    <cellStyle name="Normal 10" xfId="34"/>
    <cellStyle name="Normal 2" xfId="18"/>
    <cellStyle name="Normal 2 2" xfId="19"/>
    <cellStyle name="Normal 3" xfId="20"/>
    <cellStyle name="Normal 3 2" xfId="21"/>
    <cellStyle name="Normal 4" xfId="22"/>
    <cellStyle name="Normal 5" xfId="23"/>
    <cellStyle name="Normal 6" xfId="24"/>
    <cellStyle name="Normal 7" xfId="25"/>
    <cellStyle name="Normal 8" xfId="26"/>
    <cellStyle name="Normal 9" xfId="27"/>
    <cellStyle name="Normal 9 2" xfId="28"/>
    <cellStyle name="Notas 2" xfId="29"/>
    <cellStyle name="Notas 3" xfId="30"/>
    <cellStyle name="Porcentaje 2" xfId="31"/>
    <cellStyle name="Título 4" xfId="32"/>
    <cellStyle name="Total" xfId="3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35" Type="http://schemas.openxmlformats.org/officeDocument/2006/relationships/customXml" Target="../customXml/item4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7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2.png"/><Relationship Id="rId2" Type="http://schemas.openxmlformats.org/officeDocument/2006/relationships/image" Target="../media/image21.png"/><Relationship Id="rId1" Type="http://schemas.openxmlformats.org/officeDocument/2006/relationships/image" Target="../media/image20.png"/><Relationship Id="rId6" Type="http://schemas.openxmlformats.org/officeDocument/2006/relationships/image" Target="../media/image25.png"/><Relationship Id="rId5" Type="http://schemas.openxmlformats.org/officeDocument/2006/relationships/image" Target="../media/image24.png"/><Relationship Id="rId4" Type="http://schemas.openxmlformats.org/officeDocument/2006/relationships/image" Target="../media/image2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0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7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1</xdr:col>
      <xdr:colOff>19050</xdr:colOff>
      <xdr:row>4</xdr:row>
      <xdr:rowOff>85725</xdr:rowOff>
    </xdr:to>
    <xdr:pic>
      <xdr:nvPicPr>
        <xdr:cNvPr id="122639" name="Imagen 5">
          <a:extLst>
            <a:ext uri="{FF2B5EF4-FFF2-40B4-BE49-F238E27FC236}">
              <a16:creationId xmlns:a16="http://schemas.microsoft.com/office/drawing/2014/main" id="{FBB8FFAC-DAD7-B40B-D2EC-849F44E6C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29718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51</xdr:row>
      <xdr:rowOff>161925</xdr:rowOff>
    </xdr:from>
    <xdr:to>
      <xdr:col>0</xdr:col>
      <xdr:colOff>2515932</xdr:colOff>
      <xdr:row>51</xdr:row>
      <xdr:rowOff>180215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DEB648-15A2-4642-9AF7-FF90C6FB6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375" y="1059180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57</xdr:row>
      <xdr:rowOff>171450</xdr:rowOff>
    </xdr:from>
    <xdr:to>
      <xdr:col>3</xdr:col>
      <xdr:colOff>134682</xdr:colOff>
      <xdr:row>57</xdr:row>
      <xdr:rowOff>189740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99C9B41-073E-4008-BCD3-CE5E31FEC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33725" y="11782425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619125</xdr:colOff>
      <xdr:row>51</xdr:row>
      <xdr:rowOff>133350</xdr:rowOff>
    </xdr:from>
    <xdr:to>
      <xdr:col>4</xdr:col>
      <xdr:colOff>1134807</xdr:colOff>
      <xdr:row>51</xdr:row>
      <xdr:rowOff>151640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A4EC188-DC06-467F-984C-E5D2A46B20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0725" y="10563225"/>
          <a:ext cx="2182557" cy="182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247650</xdr:colOff>
      <xdr:row>0</xdr:row>
      <xdr:rowOff>38100</xdr:rowOff>
    </xdr:from>
    <xdr:to>
      <xdr:col>2</xdr:col>
      <xdr:colOff>914400</xdr:colOff>
      <xdr:row>1</xdr:row>
      <xdr:rowOff>238125</xdr:rowOff>
    </xdr:to>
    <xdr:pic>
      <xdr:nvPicPr>
        <xdr:cNvPr id="111142" name="Imagen 5">
          <a:extLst>
            <a:ext uri="{FF2B5EF4-FFF2-40B4-BE49-F238E27FC236}">
              <a16:creationId xmlns:a16="http://schemas.microsoft.com/office/drawing/2014/main" id="{4E642CD8-AE2F-6148-B158-8F827AD10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810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1933575</xdr:colOff>
      <xdr:row>5</xdr:row>
      <xdr:rowOff>28575</xdr:rowOff>
    </xdr:to>
    <xdr:pic>
      <xdr:nvPicPr>
        <xdr:cNvPr id="125042" name="Imagen 5">
          <a:extLst>
            <a:ext uri="{FF2B5EF4-FFF2-40B4-BE49-F238E27FC236}">
              <a16:creationId xmlns:a16="http://schemas.microsoft.com/office/drawing/2014/main" id="{E4A63FC3-962F-B871-4424-7086795C7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323850"/>
          <a:ext cx="19335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1</xdr:col>
      <xdr:colOff>1590675</xdr:colOff>
      <xdr:row>1</xdr:row>
      <xdr:rowOff>209550</xdr:rowOff>
    </xdr:to>
    <xdr:pic>
      <xdr:nvPicPr>
        <xdr:cNvPr id="98938" name="Imagen 5">
          <a:extLst>
            <a:ext uri="{FF2B5EF4-FFF2-40B4-BE49-F238E27FC236}">
              <a16:creationId xmlns:a16="http://schemas.microsoft.com/office/drawing/2014/main" id="{6F280ABA-122E-77FA-5818-1F29A79BB6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0"/>
          <a:ext cx="1971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47625</xdr:rowOff>
    </xdr:from>
    <xdr:to>
      <xdr:col>1</xdr:col>
      <xdr:colOff>1343025</xdr:colOff>
      <xdr:row>2</xdr:row>
      <xdr:rowOff>0</xdr:rowOff>
    </xdr:to>
    <xdr:pic>
      <xdr:nvPicPr>
        <xdr:cNvPr id="106032" name="Imagen 5">
          <a:extLst>
            <a:ext uri="{FF2B5EF4-FFF2-40B4-BE49-F238E27FC236}">
              <a16:creationId xmlns:a16="http://schemas.microsoft.com/office/drawing/2014/main" id="{D9A7D43C-C7F7-8B16-5F95-500BFD2E3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21240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1</xdr:col>
      <xdr:colOff>2152650</xdr:colOff>
      <xdr:row>2</xdr:row>
      <xdr:rowOff>114300</xdr:rowOff>
    </xdr:to>
    <xdr:pic>
      <xdr:nvPicPr>
        <xdr:cNvPr id="121055" name="Imagen 5">
          <a:extLst>
            <a:ext uri="{FF2B5EF4-FFF2-40B4-BE49-F238E27FC236}">
              <a16:creationId xmlns:a16="http://schemas.microsoft.com/office/drawing/2014/main" id="{5B75407B-3ACC-8C68-0B55-3A33BB7EBD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8575"/>
          <a:ext cx="21240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85725</xdr:rowOff>
    </xdr:from>
    <xdr:to>
      <xdr:col>1</xdr:col>
      <xdr:colOff>1438275</xdr:colOff>
      <xdr:row>2</xdr:row>
      <xdr:rowOff>0</xdr:rowOff>
    </xdr:to>
    <xdr:pic>
      <xdr:nvPicPr>
        <xdr:cNvPr id="128023" name="Imagen 5">
          <a:extLst>
            <a:ext uri="{FF2B5EF4-FFF2-40B4-BE49-F238E27FC236}">
              <a16:creationId xmlns:a16="http://schemas.microsoft.com/office/drawing/2014/main" id="{73FC42E7-D996-D5BA-6EBC-BDD778E38D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85725"/>
          <a:ext cx="24765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47625</xdr:rowOff>
    </xdr:from>
    <xdr:to>
      <xdr:col>1</xdr:col>
      <xdr:colOff>1276350</xdr:colOff>
      <xdr:row>2</xdr:row>
      <xdr:rowOff>152400</xdr:rowOff>
    </xdr:to>
    <xdr:pic>
      <xdr:nvPicPr>
        <xdr:cNvPr id="107056" name="Imagen 5">
          <a:extLst>
            <a:ext uri="{FF2B5EF4-FFF2-40B4-BE49-F238E27FC236}">
              <a16:creationId xmlns:a16="http://schemas.microsoft.com/office/drawing/2014/main" id="{4062ED9C-56A0-1DCF-8E0B-298877DA67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47625"/>
          <a:ext cx="19145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76200</xdr:rowOff>
    </xdr:from>
    <xdr:to>
      <xdr:col>1</xdr:col>
      <xdr:colOff>1609725</xdr:colOff>
      <xdr:row>2</xdr:row>
      <xdr:rowOff>95250</xdr:rowOff>
    </xdr:to>
    <xdr:pic>
      <xdr:nvPicPr>
        <xdr:cNvPr id="127045" name="Imagen 5">
          <a:extLst>
            <a:ext uri="{FF2B5EF4-FFF2-40B4-BE49-F238E27FC236}">
              <a16:creationId xmlns:a16="http://schemas.microsoft.com/office/drawing/2014/main" id="{6F3A6C53-FEA6-A70F-5EE3-BEFE770A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6200"/>
          <a:ext cx="17049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0</xdr:row>
      <xdr:rowOff>123825</xdr:rowOff>
    </xdr:from>
    <xdr:to>
      <xdr:col>2</xdr:col>
      <xdr:colOff>742950</xdr:colOff>
      <xdr:row>50</xdr:row>
      <xdr:rowOff>171450</xdr:rowOff>
    </xdr:to>
    <xdr:pic>
      <xdr:nvPicPr>
        <xdr:cNvPr id="108092" name="Imagen 5">
          <a:extLst>
            <a:ext uri="{FF2B5EF4-FFF2-40B4-BE49-F238E27FC236}">
              <a16:creationId xmlns:a16="http://schemas.microsoft.com/office/drawing/2014/main" id="{DF238433-E1DA-C21D-46DB-C6DD5F355F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23825"/>
          <a:ext cx="23336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104775</xdr:rowOff>
    </xdr:from>
    <xdr:to>
      <xdr:col>0</xdr:col>
      <xdr:colOff>2095500</xdr:colOff>
      <xdr:row>2</xdr:row>
      <xdr:rowOff>0</xdr:rowOff>
    </xdr:to>
    <xdr:pic>
      <xdr:nvPicPr>
        <xdr:cNvPr id="126412" name="Imagen 5">
          <a:extLst>
            <a:ext uri="{FF2B5EF4-FFF2-40B4-BE49-F238E27FC236}">
              <a16:creationId xmlns:a16="http://schemas.microsoft.com/office/drawing/2014/main" id="{2E8EB3B3-B307-3653-41C3-AA8406BD5D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04775"/>
          <a:ext cx="20193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180975</xdr:colOff>
      <xdr:row>28</xdr:row>
      <xdr:rowOff>295275</xdr:rowOff>
    </xdr:from>
    <xdr:to>
      <xdr:col>0</xdr:col>
      <xdr:colOff>2000250</xdr:colOff>
      <xdr:row>30</xdr:row>
      <xdr:rowOff>123825</xdr:rowOff>
    </xdr:to>
    <xdr:pic>
      <xdr:nvPicPr>
        <xdr:cNvPr id="126413" name="Imagen 5">
          <a:extLst>
            <a:ext uri="{FF2B5EF4-FFF2-40B4-BE49-F238E27FC236}">
              <a16:creationId xmlns:a16="http://schemas.microsoft.com/office/drawing/2014/main" id="{D422BA19-CA8B-83F5-E3E2-132D51ABF5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9096375"/>
          <a:ext cx="1819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57150</xdr:rowOff>
    </xdr:from>
    <xdr:to>
      <xdr:col>0</xdr:col>
      <xdr:colOff>1819275</xdr:colOff>
      <xdr:row>48</xdr:row>
      <xdr:rowOff>9525</xdr:rowOff>
    </xdr:to>
    <xdr:pic>
      <xdr:nvPicPr>
        <xdr:cNvPr id="126414" name="Imagen 5">
          <a:extLst>
            <a:ext uri="{FF2B5EF4-FFF2-40B4-BE49-F238E27FC236}">
              <a16:creationId xmlns:a16="http://schemas.microsoft.com/office/drawing/2014/main" id="{6BEBDD50-E72D-E71E-1AE3-FDAB03795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58800"/>
          <a:ext cx="18192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60</xdr:row>
      <xdr:rowOff>0</xdr:rowOff>
    </xdr:from>
    <xdr:to>
      <xdr:col>0</xdr:col>
      <xdr:colOff>1819275</xdr:colOff>
      <xdr:row>61</xdr:row>
      <xdr:rowOff>142875</xdr:rowOff>
    </xdr:to>
    <xdr:pic>
      <xdr:nvPicPr>
        <xdr:cNvPr id="126415" name="Imagen 5">
          <a:extLst>
            <a:ext uri="{FF2B5EF4-FFF2-40B4-BE49-F238E27FC236}">
              <a16:creationId xmlns:a16="http://schemas.microsoft.com/office/drawing/2014/main" id="{6CEFF08F-D2DF-0FB9-90EC-42E2C00E85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02250"/>
          <a:ext cx="1819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73</xdr:row>
      <xdr:rowOff>57150</xdr:rowOff>
    </xdr:from>
    <xdr:to>
      <xdr:col>0</xdr:col>
      <xdr:colOff>1781175</xdr:colOff>
      <xdr:row>73</xdr:row>
      <xdr:rowOff>466725</xdr:rowOff>
    </xdr:to>
    <xdr:pic>
      <xdr:nvPicPr>
        <xdr:cNvPr id="126416" name="Imagen 5">
          <a:extLst>
            <a:ext uri="{FF2B5EF4-FFF2-40B4-BE49-F238E27FC236}">
              <a16:creationId xmlns:a16="http://schemas.microsoft.com/office/drawing/2014/main" id="{CDC72BE8-5455-DA2A-D840-D14636882D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2145625"/>
          <a:ext cx="17049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114300</xdr:colOff>
      <xdr:row>88</xdr:row>
      <xdr:rowOff>104775</xdr:rowOff>
    </xdr:from>
    <xdr:to>
      <xdr:col>0</xdr:col>
      <xdr:colOff>1933575</xdr:colOff>
      <xdr:row>89</xdr:row>
      <xdr:rowOff>247650</xdr:rowOff>
    </xdr:to>
    <xdr:pic>
      <xdr:nvPicPr>
        <xdr:cNvPr id="126417" name="Imagen 1">
          <a:extLst>
            <a:ext uri="{FF2B5EF4-FFF2-40B4-BE49-F238E27FC236}">
              <a16:creationId xmlns:a16="http://schemas.microsoft.com/office/drawing/2014/main" id="{6672EE2F-915E-E189-83EB-290E07D99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6003250"/>
          <a:ext cx="18192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200025</xdr:rowOff>
    </xdr:from>
    <xdr:to>
      <xdr:col>0</xdr:col>
      <xdr:colOff>2943225</xdr:colOff>
      <xdr:row>3</xdr:row>
      <xdr:rowOff>180975</xdr:rowOff>
    </xdr:to>
    <xdr:pic>
      <xdr:nvPicPr>
        <xdr:cNvPr id="123662" name="Imagen 5">
          <a:extLst>
            <a:ext uri="{FF2B5EF4-FFF2-40B4-BE49-F238E27FC236}">
              <a16:creationId xmlns:a16="http://schemas.microsoft.com/office/drawing/2014/main" id="{AF619B97-FC7E-6A3A-2280-40218540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28289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508000</xdr:colOff>
      <xdr:row>43</xdr:row>
      <xdr:rowOff>148167</xdr:rowOff>
    </xdr:from>
    <xdr:to>
      <xdr:col>0</xdr:col>
      <xdr:colOff>2690557</xdr:colOff>
      <xdr:row>43</xdr:row>
      <xdr:rowOff>166457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FD18B5-E56D-8A2E-9D04-F69CF0D80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8000" y="9112250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3</xdr:col>
      <xdr:colOff>412750</xdr:colOff>
      <xdr:row>43</xdr:row>
      <xdr:rowOff>148166</xdr:rowOff>
    </xdr:from>
    <xdr:to>
      <xdr:col>4</xdr:col>
      <xdr:colOff>1071307</xdr:colOff>
      <xdr:row>43</xdr:row>
      <xdr:rowOff>166456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AE03CAB-5102-43BC-91BC-775AD7F69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20833" y="9112249"/>
          <a:ext cx="2182557" cy="18290"/>
        </a:xfrm>
        <a:prstGeom prst="rect">
          <a:avLst/>
        </a:prstGeom>
      </xdr:spPr>
    </xdr:pic>
    <xdr:clientData/>
  </xdr:twoCellAnchor>
  <xdr:twoCellAnchor editAs="oneCell">
    <xdr:from>
      <xdr:col>1</xdr:col>
      <xdr:colOff>78317</xdr:colOff>
      <xdr:row>49</xdr:row>
      <xdr:rowOff>152399</xdr:rowOff>
    </xdr:from>
    <xdr:to>
      <xdr:col>2</xdr:col>
      <xdr:colOff>1678790</xdr:colOff>
      <xdr:row>49</xdr:row>
      <xdr:rowOff>170689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0EF56D0-1A53-4C71-B45C-A2E2107EF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8650" y="10259482"/>
          <a:ext cx="2182557" cy="182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171450</xdr:rowOff>
    </xdr:from>
    <xdr:to>
      <xdr:col>0</xdr:col>
      <xdr:colOff>2209800</xdr:colOff>
      <xdr:row>2</xdr:row>
      <xdr:rowOff>76200</xdr:rowOff>
    </xdr:to>
    <xdr:pic>
      <xdr:nvPicPr>
        <xdr:cNvPr id="124168" name="Imagen 5">
          <a:extLst>
            <a:ext uri="{FF2B5EF4-FFF2-40B4-BE49-F238E27FC236}">
              <a16:creationId xmlns:a16="http://schemas.microsoft.com/office/drawing/2014/main" id="{5CE6D568-7448-262D-5509-D26DD9ACA6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714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28</xdr:row>
      <xdr:rowOff>161925</xdr:rowOff>
    </xdr:from>
    <xdr:to>
      <xdr:col>0</xdr:col>
      <xdr:colOff>2162175</xdr:colOff>
      <xdr:row>30</xdr:row>
      <xdr:rowOff>66675</xdr:rowOff>
    </xdr:to>
    <xdr:pic>
      <xdr:nvPicPr>
        <xdr:cNvPr id="124169" name="Imagen 5">
          <a:extLst>
            <a:ext uri="{FF2B5EF4-FFF2-40B4-BE49-F238E27FC236}">
              <a16:creationId xmlns:a16="http://schemas.microsoft.com/office/drawing/2014/main" id="{41BD9BB7-1DCF-4148-33CD-8586050F6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115425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285750</xdr:colOff>
      <xdr:row>42</xdr:row>
      <xdr:rowOff>0</xdr:rowOff>
    </xdr:from>
    <xdr:ext cx="2019300" cy="533400"/>
    <xdr:pic>
      <xdr:nvPicPr>
        <xdr:cNvPr id="3" name="Imagen 5">
          <a:extLst>
            <a:ext uri="{FF2B5EF4-FFF2-40B4-BE49-F238E27FC236}">
              <a16:creationId xmlns:a16="http://schemas.microsoft.com/office/drawing/2014/main" id="{1AF6BB76-4E01-4CC3-9216-7DD1575A3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3354050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352425</xdr:colOff>
      <xdr:row>56</xdr:row>
      <xdr:rowOff>161925</xdr:rowOff>
    </xdr:from>
    <xdr:ext cx="2019300" cy="533400"/>
    <xdr:pic>
      <xdr:nvPicPr>
        <xdr:cNvPr id="5" name="Imagen 5">
          <a:extLst>
            <a:ext uri="{FF2B5EF4-FFF2-40B4-BE49-F238E27FC236}">
              <a16:creationId xmlns:a16="http://schemas.microsoft.com/office/drawing/2014/main" id="{45291074-3632-4B56-A892-4DE2C1547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17916525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161925</xdr:colOff>
      <xdr:row>69</xdr:row>
      <xdr:rowOff>19050</xdr:rowOff>
    </xdr:from>
    <xdr:ext cx="2019300" cy="533400"/>
    <xdr:pic>
      <xdr:nvPicPr>
        <xdr:cNvPr id="6" name="Imagen 5">
          <a:extLst>
            <a:ext uri="{FF2B5EF4-FFF2-40B4-BE49-F238E27FC236}">
              <a16:creationId xmlns:a16="http://schemas.microsoft.com/office/drawing/2014/main" id="{8254C925-B89C-4F3C-9287-81F062B55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21859875"/>
          <a:ext cx="2019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247650</xdr:rowOff>
    </xdr:from>
    <xdr:to>
      <xdr:col>1</xdr:col>
      <xdr:colOff>2419350</xdr:colOff>
      <xdr:row>2</xdr:row>
      <xdr:rowOff>38100</xdr:rowOff>
    </xdr:to>
    <xdr:pic>
      <xdr:nvPicPr>
        <xdr:cNvPr id="97987" name="Imagen 5">
          <a:extLst>
            <a:ext uri="{FF2B5EF4-FFF2-40B4-BE49-F238E27FC236}">
              <a16:creationId xmlns:a16="http://schemas.microsoft.com/office/drawing/2014/main" id="{6A22325B-61C2-96DB-B02E-3F2B934167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7650"/>
          <a:ext cx="22764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1047750</xdr:colOff>
      <xdr:row>1</xdr:row>
      <xdr:rowOff>200025</xdr:rowOff>
    </xdr:to>
    <xdr:pic>
      <xdr:nvPicPr>
        <xdr:cNvPr id="112133" name="Imagen 10">
          <a:extLst>
            <a:ext uri="{FF2B5EF4-FFF2-40B4-BE49-F238E27FC236}">
              <a16:creationId xmlns:a16="http://schemas.microsoft.com/office/drawing/2014/main" id="{038AD5BE-7843-AF9D-E79E-D66DDA2147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192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3267075</xdr:colOff>
      <xdr:row>4</xdr:row>
      <xdr:rowOff>0</xdr:rowOff>
    </xdr:to>
    <xdr:pic>
      <xdr:nvPicPr>
        <xdr:cNvPr id="101949" name="Imagen 5">
          <a:extLst>
            <a:ext uri="{FF2B5EF4-FFF2-40B4-BE49-F238E27FC236}">
              <a16:creationId xmlns:a16="http://schemas.microsoft.com/office/drawing/2014/main" id="{B8782D00-277A-552A-3006-2A30D4186E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34766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1</xdr:col>
      <xdr:colOff>2095500</xdr:colOff>
      <xdr:row>3</xdr:row>
      <xdr:rowOff>171450</xdr:rowOff>
    </xdr:to>
    <xdr:pic>
      <xdr:nvPicPr>
        <xdr:cNvPr id="109102" name="Imagen 5">
          <a:extLst>
            <a:ext uri="{FF2B5EF4-FFF2-40B4-BE49-F238E27FC236}">
              <a16:creationId xmlns:a16="http://schemas.microsoft.com/office/drawing/2014/main" id="{0E52FF90-3591-D5B5-CC0C-909F1E5B1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775"/>
          <a:ext cx="2438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3524250</xdr:colOff>
      <xdr:row>3</xdr:row>
      <xdr:rowOff>76200</xdr:rowOff>
    </xdr:to>
    <xdr:pic>
      <xdr:nvPicPr>
        <xdr:cNvPr id="117100" name="Imagen 5">
          <a:extLst>
            <a:ext uri="{FF2B5EF4-FFF2-40B4-BE49-F238E27FC236}">
              <a16:creationId xmlns:a16="http://schemas.microsoft.com/office/drawing/2014/main" id="{3F9420CD-8756-963F-5277-A2D2B2271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"/>
          <a:ext cx="38290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28575</xdr:rowOff>
    </xdr:from>
    <xdr:to>
      <xdr:col>1</xdr:col>
      <xdr:colOff>2200275</xdr:colOff>
      <xdr:row>1</xdr:row>
      <xdr:rowOff>276225</xdr:rowOff>
    </xdr:to>
    <xdr:pic>
      <xdr:nvPicPr>
        <xdr:cNvPr id="103984" name="Imagen 5">
          <a:extLst>
            <a:ext uri="{FF2B5EF4-FFF2-40B4-BE49-F238E27FC236}">
              <a16:creationId xmlns:a16="http://schemas.microsoft.com/office/drawing/2014/main" id="{D949302E-C951-499B-1C92-F7CDEC4893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22288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0</xdr:row>
      <xdr:rowOff>123825</xdr:rowOff>
    </xdr:from>
    <xdr:to>
      <xdr:col>2</xdr:col>
      <xdr:colOff>485775</xdr:colOff>
      <xdr:row>2</xdr:row>
      <xdr:rowOff>57150</xdr:rowOff>
    </xdr:to>
    <xdr:pic>
      <xdr:nvPicPr>
        <xdr:cNvPr id="102966" name="Imagen 5">
          <a:extLst>
            <a:ext uri="{FF2B5EF4-FFF2-40B4-BE49-F238E27FC236}">
              <a16:creationId xmlns:a16="http://schemas.microsoft.com/office/drawing/2014/main" id="{D5574382-4D5E-358D-643B-B7C07B46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22860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0</xdr:row>
      <xdr:rowOff>114300</xdr:rowOff>
    </xdr:from>
    <xdr:to>
      <xdr:col>1</xdr:col>
      <xdr:colOff>1409700</xdr:colOff>
      <xdr:row>1</xdr:row>
      <xdr:rowOff>247650</xdr:rowOff>
    </xdr:to>
    <xdr:pic>
      <xdr:nvPicPr>
        <xdr:cNvPr id="72643" name="Imagen 5">
          <a:extLst>
            <a:ext uri="{FF2B5EF4-FFF2-40B4-BE49-F238E27FC236}">
              <a16:creationId xmlns:a16="http://schemas.microsoft.com/office/drawing/2014/main" id="{6E593C62-F4DE-9C64-DCF2-F9DC064E73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14300"/>
          <a:ext cx="17811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152400</xdr:rowOff>
    </xdr:from>
    <xdr:to>
      <xdr:col>1</xdr:col>
      <xdr:colOff>2190750</xdr:colOff>
      <xdr:row>2</xdr:row>
      <xdr:rowOff>114300</xdr:rowOff>
    </xdr:to>
    <xdr:pic>
      <xdr:nvPicPr>
        <xdr:cNvPr id="105008" name="Imagen 5">
          <a:extLst>
            <a:ext uri="{FF2B5EF4-FFF2-40B4-BE49-F238E27FC236}">
              <a16:creationId xmlns:a16="http://schemas.microsoft.com/office/drawing/2014/main" id="{7CFF9A80-00C2-C530-603F-DC71AE03F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" y="152400"/>
          <a:ext cx="21526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6:M86"/>
  <sheetViews>
    <sheetView tabSelected="1" zoomScaleNormal="100" workbookViewId="0">
      <selection activeCell="E61" sqref="A1:E61"/>
    </sheetView>
  </sheetViews>
  <sheetFormatPr baseColWidth="10" defaultColWidth="9.140625" defaultRowHeight="15" x14ac:dyDescent="0.2"/>
  <cols>
    <col min="1" max="1" width="44.28515625" style="1" bestFit="1" customWidth="1"/>
    <col min="2" max="2" width="8.42578125" style="1" customWidth="1"/>
    <col min="3" max="5" width="25" style="2" customWidth="1"/>
    <col min="6" max="6" width="21.42578125" style="2" customWidth="1"/>
    <col min="7" max="7" width="18.28515625" style="61" customWidth="1"/>
    <col min="8" max="8" width="19.7109375" style="1" customWidth="1"/>
    <col min="9" max="12" width="9.140625" style="1" customWidth="1"/>
    <col min="13" max="13" width="19.140625" style="1" bestFit="1" customWidth="1"/>
    <col min="14" max="16384" width="9.140625" style="1"/>
  </cols>
  <sheetData>
    <row r="6" spans="1:8" x14ac:dyDescent="0.2">
      <c r="A6" s="1" t="s">
        <v>362</v>
      </c>
    </row>
    <row r="7" spans="1:8" s="342" customFormat="1" ht="19.899999999999999" customHeight="1" x14ac:dyDescent="0.25">
      <c r="A7" s="389" t="s">
        <v>2</v>
      </c>
      <c r="B7" s="389"/>
      <c r="C7" s="389"/>
      <c r="D7" s="389"/>
      <c r="E7" s="389"/>
      <c r="F7" s="359"/>
      <c r="G7" s="360"/>
    </row>
    <row r="8" spans="1:8" s="342" customFormat="1" ht="18" x14ac:dyDescent="0.25">
      <c r="A8" s="390" t="s">
        <v>231</v>
      </c>
      <c r="B8" s="390"/>
      <c r="C8" s="390"/>
      <c r="D8" s="390"/>
      <c r="E8" s="390"/>
      <c r="F8" s="359"/>
      <c r="G8" s="360"/>
    </row>
    <row r="9" spans="1:8" s="342" customFormat="1" ht="18" x14ac:dyDescent="0.25">
      <c r="A9" s="391" t="s">
        <v>816</v>
      </c>
      <c r="B9" s="391"/>
      <c r="C9" s="391"/>
      <c r="D9" s="391"/>
      <c r="E9" s="391"/>
      <c r="F9" s="361"/>
      <c r="G9" s="360"/>
    </row>
    <row r="10" spans="1:8" s="342" customFormat="1" ht="18" x14ac:dyDescent="0.25">
      <c r="A10" s="392" t="s">
        <v>242</v>
      </c>
      <c r="B10" s="392"/>
      <c r="C10" s="392"/>
      <c r="D10" s="392"/>
      <c r="E10" s="392"/>
      <c r="F10" s="359"/>
      <c r="G10" s="360"/>
    </row>
    <row r="11" spans="1:8" s="342" customFormat="1" ht="18" x14ac:dyDescent="0.25">
      <c r="A11" s="363"/>
      <c r="B11" s="363"/>
      <c r="C11" s="363"/>
      <c r="D11" s="363"/>
      <c r="E11" s="343"/>
      <c r="F11" s="343"/>
      <c r="G11" s="360"/>
    </row>
    <row r="12" spans="1:8" s="342" customFormat="1" ht="18" x14ac:dyDescent="0.25">
      <c r="C12" s="343"/>
      <c r="D12" s="343"/>
      <c r="E12" s="343"/>
      <c r="F12" s="343"/>
      <c r="G12" s="360"/>
    </row>
    <row r="13" spans="1:8" s="364" customFormat="1" ht="24.75" customHeight="1" x14ac:dyDescent="0.2">
      <c r="B13" s="345" t="s">
        <v>100</v>
      </c>
      <c r="C13" s="345" t="s">
        <v>3</v>
      </c>
      <c r="D13" s="345" t="s">
        <v>89</v>
      </c>
      <c r="E13" s="345" t="s">
        <v>90</v>
      </c>
      <c r="F13" s="365"/>
      <c r="G13" s="366"/>
    </row>
    <row r="14" spans="1:8" ht="15.75" x14ac:dyDescent="0.25">
      <c r="A14" s="10" t="s">
        <v>4</v>
      </c>
      <c r="B14" s="10"/>
      <c r="C14" s="348"/>
      <c r="D14" s="348"/>
      <c r="E14" s="348"/>
      <c r="F14" s="348"/>
      <c r="G14" s="349"/>
    </row>
    <row r="15" spans="1:8" x14ac:dyDescent="0.2">
      <c r="A15" s="350" t="s">
        <v>0</v>
      </c>
      <c r="B15" s="350"/>
      <c r="C15" s="348"/>
      <c r="D15" s="348"/>
      <c r="E15" s="348"/>
      <c r="F15" s="348"/>
      <c r="G15" s="349"/>
    </row>
    <row r="16" spans="1:8" x14ac:dyDescent="0.2">
      <c r="A16" s="1" t="s">
        <v>150</v>
      </c>
      <c r="B16" s="14">
        <v>1</v>
      </c>
      <c r="C16" s="348">
        <f>+'A-SITUACION (2)'!D19</f>
        <v>197313571.33000001</v>
      </c>
      <c r="D16" s="348">
        <v>61480747.240000002</v>
      </c>
      <c r="E16" s="348">
        <f>+C16-D16</f>
        <v>135832824.09</v>
      </c>
      <c r="F16" s="348"/>
      <c r="G16" s="349"/>
      <c r="H16" s="6"/>
    </row>
    <row r="17" spans="1:8" ht="15.75" x14ac:dyDescent="0.25">
      <c r="A17" s="1" t="s">
        <v>151</v>
      </c>
      <c r="B17" s="14">
        <v>2</v>
      </c>
      <c r="C17" s="348">
        <v>1236361200</v>
      </c>
      <c r="D17" s="348">
        <v>1224120000</v>
      </c>
      <c r="E17" s="348">
        <f>+C17-D17</f>
        <v>12241200</v>
      </c>
      <c r="F17" s="382"/>
      <c r="G17" s="349"/>
      <c r="H17" s="6"/>
    </row>
    <row r="18" spans="1:8" x14ac:dyDescent="0.2">
      <c r="A18" s="1" t="s">
        <v>152</v>
      </c>
      <c r="B18" s="14">
        <v>3</v>
      </c>
      <c r="C18" s="348">
        <f>+'A-SITUACION (2)'!D38</f>
        <v>42331560.710000001</v>
      </c>
      <c r="D18" s="348">
        <v>42924311.770000003</v>
      </c>
      <c r="E18" s="348">
        <f>+C18-D18</f>
        <v>-592751.06000000238</v>
      </c>
      <c r="F18" s="348"/>
      <c r="G18" s="349"/>
      <c r="H18" s="6"/>
    </row>
    <row r="19" spans="1:8" x14ac:dyDescent="0.2">
      <c r="A19" s="1" t="s">
        <v>153</v>
      </c>
      <c r="B19" s="14">
        <v>4</v>
      </c>
      <c r="C19" s="348">
        <f>+'A-SITUACION (2)'!D44</f>
        <v>14775843.23</v>
      </c>
      <c r="D19" s="348">
        <v>13819877.83</v>
      </c>
      <c r="E19" s="348">
        <f>+C19-D19</f>
        <v>955965.40000000037</v>
      </c>
      <c r="F19" s="348"/>
      <c r="G19" s="349"/>
      <c r="H19" s="6"/>
    </row>
    <row r="20" spans="1:8" x14ac:dyDescent="0.2">
      <c r="A20" s="1" t="s">
        <v>154</v>
      </c>
      <c r="B20" s="14">
        <v>5</v>
      </c>
      <c r="C20" s="348">
        <f>+'A-SITUACION (2)'!D51</f>
        <v>841099.36250000028</v>
      </c>
      <c r="D20" s="348">
        <v>1047833.63</v>
      </c>
      <c r="E20" s="348">
        <f>+C20-D20</f>
        <v>-206734.26749999973</v>
      </c>
      <c r="F20" s="348"/>
      <c r="G20" s="349"/>
      <c r="H20" s="6"/>
    </row>
    <row r="21" spans="1:8" ht="15.75" x14ac:dyDescent="0.25">
      <c r="A21" s="10" t="s">
        <v>155</v>
      </c>
      <c r="B21" s="10"/>
      <c r="C21" s="351">
        <f>SUM(C16:C20)-0</f>
        <v>1491623274.6324999</v>
      </c>
      <c r="D21" s="351">
        <f>SUM(D16:D20)-0</f>
        <v>1343392770.47</v>
      </c>
      <c r="E21" s="351">
        <f>SUM(E16:E20)</f>
        <v>148230504.16249999</v>
      </c>
      <c r="F21" s="348"/>
      <c r="H21" s="6"/>
    </row>
    <row r="22" spans="1:8" x14ac:dyDescent="0.2">
      <c r="C22" s="348"/>
      <c r="D22" s="348"/>
      <c r="E22" s="348"/>
      <c r="F22" s="348"/>
      <c r="G22" s="207"/>
      <c r="H22" s="6"/>
    </row>
    <row r="23" spans="1:8" x14ac:dyDescent="0.2">
      <c r="A23" s="350" t="s">
        <v>1</v>
      </c>
      <c r="B23" s="16"/>
      <c r="C23" s="348"/>
      <c r="D23" s="348"/>
      <c r="E23" s="348"/>
      <c r="F23" s="348"/>
      <c r="H23" s="6"/>
    </row>
    <row r="24" spans="1:8" x14ac:dyDescent="0.2">
      <c r="A24" s="1" t="s">
        <v>156</v>
      </c>
      <c r="B24" s="14">
        <v>6</v>
      </c>
      <c r="C24" s="352">
        <f>+'A-SITUACION (2)'!D95</f>
        <v>13893712113.609997</v>
      </c>
      <c r="D24" s="352">
        <v>14110979705.609997</v>
      </c>
      <c r="E24" s="352">
        <f>C24-D24</f>
        <v>-217267592</v>
      </c>
      <c r="F24" s="348"/>
      <c r="G24" s="349"/>
      <c r="H24" s="6"/>
    </row>
    <row r="25" spans="1:8" x14ac:dyDescent="0.2">
      <c r="A25" s="1" t="s">
        <v>293</v>
      </c>
      <c r="B25" s="14">
        <v>7</v>
      </c>
      <c r="C25" s="353">
        <f>+'A-SITUACION (2)'!D111</f>
        <v>22556666.099999994</v>
      </c>
      <c r="D25" s="353">
        <v>23108007.990000002</v>
      </c>
      <c r="E25" s="353">
        <f>C25-D25</f>
        <v>-551341.89000000805</v>
      </c>
      <c r="F25" s="348"/>
      <c r="G25" s="207"/>
      <c r="H25" s="6"/>
    </row>
    <row r="26" spans="1:8" ht="15.75" x14ac:dyDescent="0.25">
      <c r="A26" s="10" t="s">
        <v>157</v>
      </c>
      <c r="B26" s="14"/>
      <c r="C26" s="169">
        <f>SUM(C24:C25)</f>
        <v>13916268779.709997</v>
      </c>
      <c r="D26" s="169">
        <f>SUM(D24:D25)</f>
        <v>14134087713.599997</v>
      </c>
      <c r="E26" s="169">
        <f>SUM(E24:E25)</f>
        <v>-217818933.89000002</v>
      </c>
      <c r="F26" s="348"/>
      <c r="G26" s="207"/>
      <c r="H26" s="6"/>
    </row>
    <row r="27" spans="1:8" x14ac:dyDescent="0.2">
      <c r="C27" s="348"/>
      <c r="D27" s="348"/>
      <c r="E27" s="348"/>
      <c r="F27" s="348"/>
      <c r="H27" s="6"/>
    </row>
    <row r="28" spans="1:8" ht="22.15" customHeight="1" thickBot="1" x14ac:dyDescent="0.3">
      <c r="A28" s="10" t="s">
        <v>330</v>
      </c>
      <c r="B28" s="10"/>
      <c r="C28" s="354">
        <f>C21+C26</f>
        <v>15407892054.342497</v>
      </c>
      <c r="D28" s="354">
        <f>D21+D26</f>
        <v>15477480484.069996</v>
      </c>
      <c r="E28" s="354">
        <f>E21+E26</f>
        <v>-69588429.727500021</v>
      </c>
      <c r="F28" s="348"/>
      <c r="G28" s="349"/>
      <c r="H28" s="6"/>
    </row>
    <row r="29" spans="1:8" ht="17.25" customHeight="1" thickTop="1" x14ac:dyDescent="0.2">
      <c r="C29" s="348"/>
      <c r="D29" s="348"/>
      <c r="E29" s="348"/>
      <c r="F29" s="348"/>
      <c r="G29" s="349"/>
      <c r="H29" s="6"/>
    </row>
    <row r="30" spans="1:8" ht="15.75" x14ac:dyDescent="0.25">
      <c r="A30" s="10" t="s">
        <v>5</v>
      </c>
      <c r="B30" s="10"/>
      <c r="C30" s="348"/>
      <c r="D30" s="348"/>
      <c r="E30" s="348"/>
      <c r="F30" s="348"/>
      <c r="G30" s="349"/>
      <c r="H30" s="6"/>
    </row>
    <row r="31" spans="1:8" x14ac:dyDescent="0.2">
      <c r="A31" s="350" t="s">
        <v>0</v>
      </c>
      <c r="B31" s="350"/>
      <c r="C31" s="348"/>
      <c r="D31" s="348"/>
      <c r="E31" s="348"/>
      <c r="F31" s="348"/>
      <c r="G31" s="349"/>
      <c r="H31" s="6"/>
    </row>
    <row r="32" spans="1:8" ht="15.75" x14ac:dyDescent="0.25">
      <c r="A32" s="1" t="s">
        <v>158</v>
      </c>
      <c r="B32" s="14">
        <v>8</v>
      </c>
      <c r="C32" s="348">
        <f>+'A-SITUACION (2)'!D124</f>
        <v>6445789.6899999995</v>
      </c>
      <c r="D32" s="348">
        <v>1616949.46</v>
      </c>
      <c r="E32" s="352">
        <f>+C32-D32</f>
        <v>4828840.2299999995</v>
      </c>
      <c r="F32" s="348"/>
      <c r="G32" s="382"/>
      <c r="H32" s="6"/>
    </row>
    <row r="33" spans="1:13" ht="15.75" x14ac:dyDescent="0.25">
      <c r="A33" s="1" t="s">
        <v>164</v>
      </c>
      <c r="B33" s="14">
        <v>9</v>
      </c>
      <c r="C33" s="348">
        <f>+'A-SITUACION (2)'!D139</f>
        <v>23776908.549999997</v>
      </c>
      <c r="D33" s="348">
        <v>20362315.899999995</v>
      </c>
      <c r="E33" s="352">
        <f>+C33-D33</f>
        <v>3414592.6500000022</v>
      </c>
      <c r="F33" s="348"/>
      <c r="G33" s="382"/>
      <c r="H33" s="6"/>
    </row>
    <row r="34" spans="1:13" ht="15.75" x14ac:dyDescent="0.25">
      <c r="A34" s="1" t="s">
        <v>159</v>
      </c>
      <c r="B34" s="14">
        <v>10</v>
      </c>
      <c r="C34" s="353">
        <f>+'A-SITUACION (2)'!D146</f>
        <v>120991200</v>
      </c>
      <c r="D34" s="353">
        <v>150991200</v>
      </c>
      <c r="E34" s="353">
        <f>C34-D34</f>
        <v>-30000000</v>
      </c>
      <c r="F34" s="348"/>
      <c r="G34" s="382"/>
      <c r="H34" s="6"/>
    </row>
    <row r="35" spans="1:13" ht="15.75" x14ac:dyDescent="0.25">
      <c r="A35" s="10" t="s">
        <v>160</v>
      </c>
      <c r="B35" s="10"/>
      <c r="C35" s="169">
        <f>SUM(C32:C34)</f>
        <v>151213898.24000001</v>
      </c>
      <c r="D35" s="169">
        <f>SUM(D32:D34)</f>
        <v>172970465.35999998</v>
      </c>
      <c r="E35" s="169">
        <f>SUM(E32:E34)</f>
        <v>-21756567.119999997</v>
      </c>
      <c r="F35" s="348"/>
      <c r="G35" s="349"/>
      <c r="H35" s="6"/>
    </row>
    <row r="36" spans="1:13" x14ac:dyDescent="0.2">
      <c r="C36" s="348"/>
      <c r="D36" s="348"/>
      <c r="E36" s="352"/>
      <c r="F36" s="348"/>
      <c r="G36" s="349"/>
      <c r="H36" s="6"/>
    </row>
    <row r="37" spans="1:13" x14ac:dyDescent="0.2">
      <c r="C37" s="348"/>
      <c r="D37" s="348"/>
      <c r="E37" s="352"/>
      <c r="F37" s="348"/>
      <c r="G37" s="349"/>
      <c r="H37" s="6"/>
    </row>
    <row r="38" spans="1:13" ht="15.75" x14ac:dyDescent="0.25">
      <c r="A38" s="10" t="s">
        <v>6</v>
      </c>
      <c r="B38" s="10"/>
      <c r="C38" s="169">
        <f>C35</f>
        <v>151213898.24000001</v>
      </c>
      <c r="D38" s="169">
        <f>D35</f>
        <v>172970465.35999998</v>
      </c>
      <c r="E38" s="169">
        <f>E35</f>
        <v>-21756567.119999997</v>
      </c>
      <c r="F38" s="348"/>
      <c r="G38" s="349"/>
      <c r="H38" s="6"/>
    </row>
    <row r="39" spans="1:13" x14ac:dyDescent="0.2">
      <c r="C39" s="348"/>
      <c r="D39" s="348"/>
      <c r="E39" s="348"/>
      <c r="F39" s="348"/>
      <c r="H39" s="6"/>
    </row>
    <row r="40" spans="1:13" ht="15.75" x14ac:dyDescent="0.25">
      <c r="A40" s="10" t="s">
        <v>7</v>
      </c>
      <c r="B40" s="10"/>
      <c r="C40" s="348"/>
      <c r="D40" s="348"/>
      <c r="E40" s="352"/>
      <c r="F40" s="348"/>
      <c r="H40" s="6"/>
    </row>
    <row r="41" spans="1:13" x14ac:dyDescent="0.2">
      <c r="A41" s="1" t="s">
        <v>161</v>
      </c>
      <c r="B41" s="14">
        <v>11</v>
      </c>
      <c r="C41" s="348">
        <v>22197671812.259998</v>
      </c>
      <c r="D41" s="348">
        <v>22197671812.259998</v>
      </c>
      <c r="E41" s="352">
        <f>+C41-D41</f>
        <v>0</v>
      </c>
      <c r="F41" s="348"/>
      <c r="G41" s="207"/>
      <c r="H41" s="6"/>
    </row>
    <row r="42" spans="1:13" x14ac:dyDescent="0.2">
      <c r="A42" s="1" t="s">
        <v>162</v>
      </c>
      <c r="C42" s="348">
        <f>-4116148379.08+144275946.86</f>
        <v>-3971872432.2199998</v>
      </c>
      <c r="D42" s="348">
        <v>-3971872432.2199998</v>
      </c>
      <c r="E42" s="352">
        <f>+C42-D42</f>
        <v>0</v>
      </c>
      <c r="F42" s="348"/>
      <c r="G42" s="207"/>
      <c r="H42" s="6"/>
    </row>
    <row r="43" spans="1:13" x14ac:dyDescent="0.2">
      <c r="A43" s="1" t="s">
        <v>163</v>
      </c>
      <c r="C43" s="353">
        <f>+'Estado Resultado'!C36</f>
        <v>-2969121223.9399996</v>
      </c>
      <c r="D43" s="353">
        <v>-2921289361.3299999</v>
      </c>
      <c r="E43" s="353">
        <f>+C43-D43</f>
        <v>-47831862.609999657</v>
      </c>
      <c r="F43" s="348"/>
      <c r="H43" s="6"/>
    </row>
    <row r="44" spans="1:13" x14ac:dyDescent="0.2">
      <c r="C44" s="348"/>
      <c r="D44" s="348"/>
      <c r="E44" s="348"/>
      <c r="F44" s="348"/>
      <c r="G44" s="349"/>
      <c r="H44" s="6"/>
    </row>
    <row r="45" spans="1:13" ht="15.75" x14ac:dyDescent="0.25">
      <c r="A45" s="10" t="s">
        <v>8</v>
      </c>
      <c r="B45" s="10"/>
      <c r="C45" s="169">
        <f>SUM(C41:C43)</f>
        <v>15256678156.099998</v>
      </c>
      <c r="D45" s="169">
        <f>SUM(D41:D43)</f>
        <v>15304510018.709997</v>
      </c>
      <c r="E45" s="169">
        <f>SUM(E41:E43)</f>
        <v>-47831862.609999657</v>
      </c>
      <c r="F45" s="348"/>
      <c r="H45" s="6"/>
    </row>
    <row r="46" spans="1:13" ht="11.25" customHeight="1" x14ac:dyDescent="0.2">
      <c r="C46" s="348"/>
      <c r="D46" s="348"/>
      <c r="E46" s="348"/>
      <c r="F46" s="348"/>
      <c r="H46" s="6"/>
    </row>
    <row r="47" spans="1:13" ht="21" customHeight="1" thickBot="1" x14ac:dyDescent="0.3">
      <c r="A47" s="10" t="s">
        <v>329</v>
      </c>
      <c r="B47" s="10"/>
      <c r="C47" s="354">
        <f>+C38+C45</f>
        <v>15407892054.339998</v>
      </c>
      <c r="D47" s="354">
        <f>+D38+D45</f>
        <v>15477480484.069998</v>
      </c>
      <c r="E47" s="354">
        <f>+E38+E45</f>
        <v>-69588429.729999661</v>
      </c>
      <c r="F47" s="348"/>
      <c r="H47" s="6"/>
    </row>
    <row r="48" spans="1:13" ht="15.75" thickTop="1" x14ac:dyDescent="0.2">
      <c r="C48" s="355"/>
      <c r="D48" s="355">
        <f>D47-D28</f>
        <v>0</v>
      </c>
      <c r="E48" s="355">
        <v>0</v>
      </c>
      <c r="F48" s="349"/>
      <c r="H48" s="6"/>
      <c r="M48" s="348"/>
    </row>
    <row r="49" spans="1:13" x14ac:dyDescent="0.2">
      <c r="H49" s="6"/>
      <c r="M49" s="2"/>
    </row>
    <row r="50" spans="1:13" ht="27" customHeight="1" x14ac:dyDescent="0.2">
      <c r="M50" s="2"/>
    </row>
    <row r="51" spans="1:13" ht="12" customHeight="1" x14ac:dyDescent="0.2">
      <c r="A51" s="19"/>
      <c r="B51" s="19"/>
      <c r="M51" s="2"/>
    </row>
    <row r="52" spans="1:13" ht="15" customHeight="1" x14ac:dyDescent="0.2">
      <c r="A52" s="19"/>
      <c r="B52" s="19"/>
      <c r="M52" s="2"/>
    </row>
    <row r="53" spans="1:13" x14ac:dyDescent="0.2">
      <c r="A53" s="20" t="s">
        <v>205</v>
      </c>
      <c r="D53" s="388" t="s">
        <v>11</v>
      </c>
      <c r="E53" s="388"/>
      <c r="H53" s="2"/>
      <c r="M53" s="2"/>
    </row>
    <row r="54" spans="1:13" x14ac:dyDescent="0.2">
      <c r="A54" s="20" t="s">
        <v>291</v>
      </c>
      <c r="B54" s="19"/>
      <c r="D54" s="388" t="s">
        <v>12</v>
      </c>
      <c r="E54" s="388"/>
      <c r="H54" s="2"/>
    </row>
    <row r="55" spans="1:13" x14ac:dyDescent="0.2">
      <c r="A55" s="20"/>
      <c r="B55" s="19"/>
      <c r="H55" s="2"/>
      <c r="M55" s="2"/>
    </row>
    <row r="56" spans="1:13" ht="16.5" customHeight="1" x14ac:dyDescent="0.2">
      <c r="A56" s="19"/>
      <c r="B56" s="19"/>
      <c r="M56" s="6"/>
    </row>
    <row r="57" spans="1:13" ht="16.5" customHeight="1" x14ac:dyDescent="0.2">
      <c r="A57" s="19"/>
      <c r="B57" s="19"/>
      <c r="M57" s="6"/>
    </row>
    <row r="58" spans="1:13" ht="17.25" customHeight="1" x14ac:dyDescent="0.2">
      <c r="M58" s="6"/>
    </row>
    <row r="59" spans="1:13" x14ac:dyDescent="0.2">
      <c r="A59" s="393" t="s">
        <v>177</v>
      </c>
      <c r="B59" s="393"/>
      <c r="C59" s="393"/>
      <c r="D59" s="393"/>
      <c r="E59" s="393"/>
    </row>
    <row r="60" spans="1:13" x14ac:dyDescent="0.2">
      <c r="A60" s="393" t="s">
        <v>178</v>
      </c>
      <c r="B60" s="393"/>
      <c r="C60" s="393"/>
      <c r="D60" s="393"/>
      <c r="E60" s="393"/>
    </row>
    <row r="67" spans="3:7" x14ac:dyDescent="0.2">
      <c r="C67" s="1"/>
      <c r="D67" s="388"/>
      <c r="E67" s="388"/>
      <c r="F67" s="388"/>
      <c r="G67" s="388"/>
    </row>
    <row r="68" spans="3:7" x14ac:dyDescent="0.2">
      <c r="C68" s="1"/>
    </row>
    <row r="69" spans="3:7" x14ac:dyDescent="0.2">
      <c r="C69" s="21"/>
      <c r="D69" s="22"/>
      <c r="F69" s="22"/>
      <c r="G69" s="18"/>
    </row>
    <row r="70" spans="3:7" x14ac:dyDescent="0.2">
      <c r="C70" s="21"/>
      <c r="D70" s="22"/>
      <c r="F70" s="22"/>
      <c r="G70" s="18"/>
    </row>
    <row r="71" spans="3:7" x14ac:dyDescent="0.2">
      <c r="C71" s="21"/>
      <c r="D71" s="22"/>
      <c r="F71" s="22"/>
      <c r="G71" s="18"/>
    </row>
    <row r="72" spans="3:7" x14ac:dyDescent="0.2">
      <c r="C72" s="21"/>
      <c r="D72" s="22"/>
      <c r="F72" s="22"/>
      <c r="G72" s="18"/>
    </row>
    <row r="73" spans="3:7" x14ac:dyDescent="0.2">
      <c r="C73" s="21"/>
      <c r="D73" s="22"/>
      <c r="F73" s="22"/>
      <c r="G73" s="18"/>
    </row>
    <row r="74" spans="3:7" x14ac:dyDescent="0.2">
      <c r="C74" s="21"/>
      <c r="D74" s="22"/>
      <c r="F74" s="22"/>
      <c r="G74" s="18"/>
    </row>
    <row r="75" spans="3:7" x14ac:dyDescent="0.2">
      <c r="C75" s="21"/>
      <c r="D75" s="22"/>
      <c r="F75" s="22"/>
      <c r="G75" s="18"/>
    </row>
    <row r="76" spans="3:7" x14ac:dyDescent="0.2">
      <c r="C76" s="21"/>
      <c r="G76" s="18"/>
    </row>
    <row r="77" spans="3:7" x14ac:dyDescent="0.2">
      <c r="C77" s="23"/>
    </row>
    <row r="78" spans="3:7" x14ac:dyDescent="0.2">
      <c r="C78" s="23"/>
    </row>
    <row r="80" spans="3:7" x14ac:dyDescent="0.2">
      <c r="C80" s="7"/>
    </row>
    <row r="81" spans="3:3" x14ac:dyDescent="0.2">
      <c r="C81" s="7"/>
    </row>
    <row r="82" spans="3:3" x14ac:dyDescent="0.2">
      <c r="C82" s="7"/>
    </row>
    <row r="83" spans="3:3" x14ac:dyDescent="0.2">
      <c r="C83" s="7"/>
    </row>
    <row r="84" spans="3:3" x14ac:dyDescent="0.2">
      <c r="C84" s="7"/>
    </row>
    <row r="85" spans="3:3" x14ac:dyDescent="0.2">
      <c r="C85" s="7"/>
    </row>
    <row r="86" spans="3:3" x14ac:dyDescent="0.2">
      <c r="C86" s="7"/>
    </row>
  </sheetData>
  <mergeCells count="10">
    <mergeCell ref="D67:E67"/>
    <mergeCell ref="F67:G67"/>
    <mergeCell ref="A7:E7"/>
    <mergeCell ref="A8:E8"/>
    <mergeCell ref="A9:E9"/>
    <mergeCell ref="A10:E10"/>
    <mergeCell ref="A59:E59"/>
    <mergeCell ref="A60:E60"/>
    <mergeCell ref="D54:E54"/>
    <mergeCell ref="D53:E53"/>
  </mergeCells>
  <phoneticPr fontId="3" type="noConversion"/>
  <pageMargins left="0.86614173228346458" right="0.86614173228346458" top="0.39370078740157483" bottom="0.19685039370078741" header="0" footer="0"/>
  <pageSetup scale="68" orientation="portrait" horizontalDpi="4294967293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opLeftCell="A20" zoomScale="110" zoomScaleNormal="110" workbookViewId="0">
      <selection activeCell="F46" sqref="A1:F46"/>
    </sheetView>
  </sheetViews>
  <sheetFormatPr baseColWidth="10" defaultColWidth="11.5703125" defaultRowHeight="24.75" customHeight="1" x14ac:dyDescent="0.2"/>
  <cols>
    <col min="1" max="1" width="4.7109375" style="8" customWidth="1"/>
    <col min="2" max="2" width="14.28515625" style="8" customWidth="1"/>
    <col min="3" max="3" width="16.28515625" style="8" customWidth="1"/>
    <col min="4" max="4" width="45.140625" style="8" bestFit="1" customWidth="1"/>
    <col min="5" max="5" width="17.85546875" style="8" bestFit="1" customWidth="1"/>
    <col min="6" max="6" width="16.42578125" style="8" bestFit="1" customWidth="1"/>
    <col min="7" max="7" width="14" style="8" customWidth="1"/>
    <col min="8" max="8" width="13.42578125" style="8" customWidth="1"/>
    <col min="9" max="16384" width="11.5703125" style="8"/>
  </cols>
  <sheetData>
    <row r="1" spans="1:6" ht="24.75" customHeight="1" x14ac:dyDescent="0.2">
      <c r="A1" s="1"/>
      <c r="B1" s="1"/>
      <c r="C1" s="1"/>
      <c r="D1" s="1"/>
      <c r="E1" s="2"/>
      <c r="F1" s="1"/>
    </row>
    <row r="2" spans="1:6" ht="24.75" customHeight="1" x14ac:dyDescent="0.25">
      <c r="A2" s="1"/>
      <c r="B2" s="398"/>
      <c r="C2" s="398"/>
      <c r="D2" s="398"/>
      <c r="E2" s="398"/>
      <c r="F2" s="398"/>
    </row>
    <row r="3" spans="1:6" ht="24.75" customHeight="1" x14ac:dyDescent="0.25">
      <c r="A3" s="1"/>
      <c r="B3" s="398" t="s">
        <v>233</v>
      </c>
      <c r="C3" s="398"/>
      <c r="D3" s="398"/>
      <c r="E3" s="398"/>
      <c r="F3" s="398"/>
    </row>
    <row r="4" spans="1:6" ht="24.75" customHeight="1" x14ac:dyDescent="0.25">
      <c r="A4" s="1"/>
      <c r="B4" s="398" t="s">
        <v>227</v>
      </c>
      <c r="C4" s="398"/>
      <c r="D4" s="398"/>
      <c r="E4" s="398"/>
      <c r="F4" s="398"/>
    </row>
    <row r="5" spans="1:6" ht="24.75" customHeight="1" x14ac:dyDescent="0.25">
      <c r="A5" s="1"/>
      <c r="B5" s="398" t="s">
        <v>236</v>
      </c>
      <c r="C5" s="398"/>
      <c r="D5" s="398"/>
      <c r="E5" s="398"/>
      <c r="F5" s="398"/>
    </row>
    <row r="6" spans="1:6" ht="24.75" customHeight="1" x14ac:dyDescent="0.25">
      <c r="A6" s="1"/>
      <c r="B6" s="399">
        <v>45169</v>
      </c>
      <c r="C6" s="399"/>
      <c r="D6" s="399"/>
      <c r="E6" s="399"/>
      <c r="F6" s="399"/>
    </row>
    <row r="7" spans="1:6" ht="24.75" customHeight="1" thickBot="1" x14ac:dyDescent="0.3">
      <c r="A7" s="1"/>
      <c r="B7" s="1"/>
      <c r="C7" s="1"/>
      <c r="D7" s="9"/>
      <c r="E7" s="9"/>
      <c r="F7" s="1"/>
    </row>
    <row r="8" spans="1:6" ht="24.75" customHeight="1" thickBot="1" x14ac:dyDescent="0.3">
      <c r="A8" s="1"/>
      <c r="B8" s="63" t="s">
        <v>181</v>
      </c>
      <c r="C8" s="64" t="s">
        <v>460</v>
      </c>
      <c r="D8" s="48" t="s">
        <v>182</v>
      </c>
      <c r="E8" s="48" t="s">
        <v>183</v>
      </c>
      <c r="F8" s="31" t="s">
        <v>235</v>
      </c>
    </row>
    <row r="9" spans="1:6" ht="24.75" customHeight="1" x14ac:dyDescent="0.2">
      <c r="A9" s="1"/>
      <c r="B9" s="68">
        <v>44042</v>
      </c>
      <c r="C9" s="65">
        <v>36759</v>
      </c>
      <c r="D9" s="28" t="s">
        <v>368</v>
      </c>
      <c r="E9" s="29">
        <v>320878.34000000003</v>
      </c>
      <c r="F9" s="65" t="s">
        <v>206</v>
      </c>
    </row>
    <row r="10" spans="1:6" ht="24.75" customHeight="1" x14ac:dyDescent="0.2">
      <c r="A10" s="1"/>
      <c r="B10" s="69">
        <v>44042</v>
      </c>
      <c r="C10" s="66">
        <v>36760</v>
      </c>
      <c r="D10" s="28" t="s">
        <v>368</v>
      </c>
      <c r="E10" s="13">
        <v>320878.34000000003</v>
      </c>
      <c r="F10" s="66" t="s">
        <v>206</v>
      </c>
    </row>
    <row r="11" spans="1:6" ht="24.75" customHeight="1" x14ac:dyDescent="0.2">
      <c r="A11" s="1"/>
      <c r="B11" s="69">
        <v>44042</v>
      </c>
      <c r="C11" s="66">
        <v>36762</v>
      </c>
      <c r="D11" s="28" t="s">
        <v>368</v>
      </c>
      <c r="E11" s="13">
        <v>261614.87</v>
      </c>
      <c r="F11" s="66" t="s">
        <v>206</v>
      </c>
    </row>
    <row r="12" spans="1:6" ht="24.75" customHeight="1" x14ac:dyDescent="0.2">
      <c r="A12" s="1"/>
      <c r="B12" s="69">
        <v>44042</v>
      </c>
      <c r="C12" s="66">
        <v>36763</v>
      </c>
      <c r="D12" s="28" t="s">
        <v>368</v>
      </c>
      <c r="E12" s="13">
        <v>636759.86</v>
      </c>
      <c r="F12" s="66" t="s">
        <v>206</v>
      </c>
    </row>
    <row r="13" spans="1:6" ht="24.75" customHeight="1" x14ac:dyDescent="0.2">
      <c r="A13" s="1"/>
      <c r="B13" s="69">
        <v>44042</v>
      </c>
      <c r="C13" s="66">
        <v>36765</v>
      </c>
      <c r="D13" s="28" t="s">
        <v>368</v>
      </c>
      <c r="E13" s="13">
        <v>636759.86</v>
      </c>
      <c r="F13" s="66" t="s">
        <v>206</v>
      </c>
    </row>
    <row r="14" spans="1:6" ht="24.75" customHeight="1" x14ac:dyDescent="0.2">
      <c r="A14" s="1"/>
      <c r="B14" s="69">
        <v>44042</v>
      </c>
      <c r="C14" s="66">
        <v>36766</v>
      </c>
      <c r="D14" s="28" t="s">
        <v>368</v>
      </c>
      <c r="E14" s="13">
        <v>282294.27</v>
      </c>
      <c r="F14" s="66" t="s">
        <v>206</v>
      </c>
    </row>
    <row r="15" spans="1:6" ht="24.75" customHeight="1" x14ac:dyDescent="0.2">
      <c r="A15" s="1"/>
      <c r="B15" s="69">
        <v>44872</v>
      </c>
      <c r="C15" s="66">
        <v>38842</v>
      </c>
      <c r="D15" s="28" t="s">
        <v>383</v>
      </c>
      <c r="E15" s="13">
        <v>1574710</v>
      </c>
      <c r="F15" s="66" t="s">
        <v>206</v>
      </c>
    </row>
    <row r="16" spans="1:6" ht="24.75" customHeight="1" x14ac:dyDescent="0.2">
      <c r="A16" s="1"/>
      <c r="B16" s="69">
        <v>44887</v>
      </c>
      <c r="C16" s="66">
        <v>38829</v>
      </c>
      <c r="D16" s="28" t="s">
        <v>384</v>
      </c>
      <c r="E16" s="13">
        <v>1085297.1100000001</v>
      </c>
      <c r="F16" s="66" t="s">
        <v>206</v>
      </c>
    </row>
    <row r="17" spans="1:8" ht="24.75" customHeight="1" x14ac:dyDescent="0.2">
      <c r="A17" s="1"/>
      <c r="B17" s="69">
        <v>44894</v>
      </c>
      <c r="C17" s="66">
        <v>38855</v>
      </c>
      <c r="D17" s="28" t="s">
        <v>385</v>
      </c>
      <c r="E17" s="13">
        <v>5149638</v>
      </c>
      <c r="F17" s="66" t="s">
        <v>206</v>
      </c>
    </row>
    <row r="18" spans="1:8" ht="24.75" customHeight="1" x14ac:dyDescent="0.2">
      <c r="A18" s="1"/>
      <c r="B18" s="69">
        <v>44907</v>
      </c>
      <c r="C18" s="66">
        <v>38881</v>
      </c>
      <c r="D18" s="28" t="s">
        <v>383</v>
      </c>
      <c r="E18" s="13">
        <v>2362065</v>
      </c>
      <c r="F18" s="66" t="s">
        <v>206</v>
      </c>
      <c r="G18" s="206"/>
    </row>
    <row r="19" spans="1:8" ht="24.75" hidden="1" customHeight="1" x14ac:dyDescent="0.2">
      <c r="A19" s="1"/>
      <c r="B19" s="69">
        <v>44945</v>
      </c>
      <c r="C19" s="66">
        <v>38940</v>
      </c>
      <c r="D19" s="28" t="s">
        <v>407</v>
      </c>
      <c r="E19" s="13"/>
      <c r="F19" s="66" t="s">
        <v>206</v>
      </c>
    </row>
    <row r="20" spans="1:8" ht="24.75" customHeight="1" x14ac:dyDescent="0.2">
      <c r="A20" s="1"/>
      <c r="B20" s="69">
        <v>44978</v>
      </c>
      <c r="C20" s="66">
        <v>38992</v>
      </c>
      <c r="D20" s="28" t="s">
        <v>384</v>
      </c>
      <c r="E20" s="13">
        <v>1627945.67</v>
      </c>
      <c r="F20" s="66" t="s">
        <v>206</v>
      </c>
      <c r="H20" s="293"/>
    </row>
    <row r="21" spans="1:8" ht="24.75" customHeight="1" x14ac:dyDescent="0.2">
      <c r="A21" s="1"/>
      <c r="B21" s="69">
        <v>45005</v>
      </c>
      <c r="C21" s="66">
        <v>39039</v>
      </c>
      <c r="D21" s="28" t="s">
        <v>508</v>
      </c>
      <c r="E21" s="13">
        <v>442160.16</v>
      </c>
      <c r="F21" s="66" t="s">
        <v>206</v>
      </c>
    </row>
    <row r="22" spans="1:8" ht="24.75" customHeight="1" x14ac:dyDescent="0.2">
      <c r="A22" s="1"/>
      <c r="B22" s="69">
        <v>45043</v>
      </c>
      <c r="C22" s="66">
        <v>39088</v>
      </c>
      <c r="D22" s="28" t="s">
        <v>514</v>
      </c>
      <c r="E22" s="13">
        <v>477182.74</v>
      </c>
      <c r="F22" s="66" t="s">
        <v>206</v>
      </c>
    </row>
    <row r="23" spans="1:8" ht="24.75" customHeight="1" x14ac:dyDescent="0.2">
      <c r="A23" s="1"/>
      <c r="B23" s="69">
        <v>45005</v>
      </c>
      <c r="C23" s="66">
        <v>39089</v>
      </c>
      <c r="D23" s="28" t="s">
        <v>514</v>
      </c>
      <c r="E23" s="13">
        <v>755903.28</v>
      </c>
      <c r="F23" s="66" t="s">
        <v>206</v>
      </c>
    </row>
    <row r="24" spans="1:8" ht="24.75" customHeight="1" x14ac:dyDescent="0.2">
      <c r="A24" s="1"/>
      <c r="B24" s="69">
        <v>45049</v>
      </c>
      <c r="C24" s="66">
        <v>39106</v>
      </c>
      <c r="D24" s="28" t="s">
        <v>385</v>
      </c>
      <c r="E24" s="13">
        <v>7724457</v>
      </c>
      <c r="F24" s="66" t="s">
        <v>206</v>
      </c>
    </row>
    <row r="25" spans="1:8" ht="24.75" customHeight="1" x14ac:dyDescent="0.2">
      <c r="A25" s="1"/>
      <c r="B25" s="69">
        <v>45103</v>
      </c>
      <c r="C25" s="66">
        <v>31387</v>
      </c>
      <c r="D25" s="28" t="s">
        <v>384</v>
      </c>
      <c r="E25" s="13">
        <v>1627945.67</v>
      </c>
      <c r="F25" s="66" t="s">
        <v>206</v>
      </c>
    </row>
    <row r="26" spans="1:8" ht="24.75" customHeight="1" x14ac:dyDescent="0.2">
      <c r="A26" s="1"/>
      <c r="B26" s="69">
        <v>45127</v>
      </c>
      <c r="C26" s="66">
        <v>31419</v>
      </c>
      <c r="D26" s="28" t="s">
        <v>514</v>
      </c>
      <c r="E26" s="13">
        <v>1700782.38</v>
      </c>
      <c r="F26" s="66" t="s">
        <v>206</v>
      </c>
    </row>
    <row r="27" spans="1:8" ht="24.75" customHeight="1" x14ac:dyDescent="0.2">
      <c r="A27" s="1"/>
      <c r="B27" s="69">
        <v>45147</v>
      </c>
      <c r="C27" s="66">
        <v>31436</v>
      </c>
      <c r="D27" s="28" t="s">
        <v>818</v>
      </c>
      <c r="E27" s="13">
        <v>350805.5</v>
      </c>
      <c r="F27" s="66" t="s">
        <v>206</v>
      </c>
    </row>
    <row r="28" spans="1:8" ht="24.75" customHeight="1" x14ac:dyDescent="0.4">
      <c r="A28" s="1"/>
      <c r="B28" s="25"/>
      <c r="C28" s="25"/>
      <c r="D28" s="37" t="s">
        <v>63</v>
      </c>
      <c r="E28" s="67">
        <f>SUM(E9:E27)</f>
        <v>27338078.050000001</v>
      </c>
      <c r="F28" s="25"/>
    </row>
    <row r="29" spans="1:8" ht="24.75" customHeight="1" x14ac:dyDescent="0.2">
      <c r="A29" s="1"/>
      <c r="B29" s="25"/>
      <c r="C29" s="25"/>
      <c r="D29" s="25"/>
      <c r="E29" s="13"/>
      <c r="F29" s="25"/>
      <c r="H29" s="293"/>
    </row>
    <row r="30" spans="1:8" ht="24.75" customHeight="1" x14ac:dyDescent="0.25">
      <c r="A30" s="1"/>
      <c r="B30" s="1"/>
      <c r="C30" s="1"/>
      <c r="D30" s="10"/>
      <c r="E30" s="95"/>
      <c r="F30" s="1"/>
    </row>
    <row r="31" spans="1:8" ht="24.75" customHeight="1" x14ac:dyDescent="0.2">
      <c r="A31" s="1"/>
      <c r="B31" s="1"/>
      <c r="C31" s="1"/>
      <c r="D31" s="292" t="s">
        <v>564</v>
      </c>
      <c r="E31" s="206"/>
      <c r="F31" s="1"/>
    </row>
    <row r="32" spans="1:8" ht="24.75" customHeight="1" x14ac:dyDescent="0.2">
      <c r="E32" s="206"/>
    </row>
    <row r="33" spans="5:5" ht="24.75" customHeight="1" x14ac:dyDescent="0.2">
      <c r="E33" s="206"/>
    </row>
  </sheetData>
  <mergeCells count="5">
    <mergeCell ref="B2:F2"/>
    <mergeCell ref="B3:F3"/>
    <mergeCell ref="B4:F4"/>
    <mergeCell ref="B5:F5"/>
    <mergeCell ref="B6:F6"/>
  </mergeCells>
  <pageMargins left="0.70866141732283472" right="0.70866141732283472" top="0.74803149606299213" bottom="0.74803149606299213" header="0.31496062992125984" footer="0.31496062992125984"/>
  <pageSetup scale="83" orientation="portrait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C14"/>
  <sheetViews>
    <sheetView workbookViewId="0">
      <selection activeCell="B11" sqref="B11"/>
    </sheetView>
  </sheetViews>
  <sheetFormatPr baseColWidth="10" defaultRowHeight="12.75" x14ac:dyDescent="0.2"/>
  <cols>
    <col min="1" max="1" width="5.140625" customWidth="1"/>
    <col min="2" max="2" width="52" customWidth="1"/>
    <col min="3" max="3" width="25" customWidth="1"/>
    <col min="4" max="4" width="24.5703125" customWidth="1"/>
  </cols>
  <sheetData>
    <row r="7" spans="2:3" ht="15.75" x14ac:dyDescent="0.25">
      <c r="B7" s="398" t="s">
        <v>233</v>
      </c>
      <c r="C7" s="398"/>
    </row>
    <row r="8" spans="2:3" ht="15.75" x14ac:dyDescent="0.25">
      <c r="B8" s="398" t="s">
        <v>227</v>
      </c>
      <c r="C8" s="398"/>
    </row>
    <row r="9" spans="2:3" ht="15.75" x14ac:dyDescent="0.25">
      <c r="B9" s="398" t="s">
        <v>237</v>
      </c>
      <c r="C9" s="398"/>
    </row>
    <row r="10" spans="2:3" ht="24" customHeight="1" x14ac:dyDescent="0.25">
      <c r="B10" s="399">
        <v>45169</v>
      </c>
      <c r="C10" s="399"/>
    </row>
    <row r="11" spans="2:3" ht="15.75" thickBot="1" x14ac:dyDescent="0.25">
      <c r="B11" s="1"/>
      <c r="C11" s="1"/>
    </row>
    <row r="12" spans="2:3" ht="32.25" thickBot="1" x14ac:dyDescent="0.25">
      <c r="B12" s="299" t="s">
        <v>207</v>
      </c>
      <c r="C12" s="300" t="s">
        <v>575</v>
      </c>
    </row>
    <row r="13" spans="2:3" ht="25.5" customHeight="1" x14ac:dyDescent="0.25">
      <c r="B13" s="301" t="s">
        <v>574</v>
      </c>
      <c r="C13" s="302">
        <v>0</v>
      </c>
    </row>
    <row r="14" spans="2:3" ht="25.5" customHeight="1" thickBot="1" x14ac:dyDescent="0.3">
      <c r="B14" s="303" t="s">
        <v>225</v>
      </c>
      <c r="C14" s="304">
        <f>SUM(C13)</f>
        <v>0</v>
      </c>
    </row>
  </sheetData>
  <mergeCells count="4">
    <mergeCell ref="B7:C7"/>
    <mergeCell ref="B8:C8"/>
    <mergeCell ref="B9:C9"/>
    <mergeCell ref="B10:C10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workbookViewId="0">
      <selection activeCell="B11" sqref="B11"/>
    </sheetView>
  </sheetViews>
  <sheetFormatPr baseColWidth="10" defaultRowHeight="24.75" customHeight="1" x14ac:dyDescent="0.2"/>
  <cols>
    <col min="1" max="1" width="6.140625" customWidth="1"/>
    <col min="2" max="2" width="35.28515625" customWidth="1"/>
    <col min="3" max="3" width="17" hidden="1" customWidth="1"/>
    <col min="4" max="4" width="18.42578125" hidden="1" customWidth="1"/>
    <col min="5" max="5" width="19.5703125" customWidth="1"/>
    <col min="6" max="6" width="13.85546875" customWidth="1"/>
    <col min="7" max="7" width="18" customWidth="1"/>
    <col min="8" max="8" width="24.28515625" customWidth="1"/>
    <col min="9" max="9" width="16.42578125" customWidth="1"/>
  </cols>
  <sheetData>
    <row r="1" spans="1:9" ht="24.7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9" ht="24.75" customHeight="1" x14ac:dyDescent="0.2">
      <c r="A2" s="1"/>
      <c r="B2" s="1"/>
      <c r="C2" s="1"/>
      <c r="D2" s="1"/>
      <c r="E2" s="1"/>
      <c r="F2" s="1"/>
      <c r="G2" s="1"/>
      <c r="H2" s="1"/>
      <c r="I2" s="1"/>
    </row>
    <row r="3" spans="1:9" ht="24.75" customHeight="1" x14ac:dyDescent="0.25">
      <c r="A3" s="70"/>
      <c r="B3" s="406" t="s">
        <v>233</v>
      </c>
      <c r="C3" s="406"/>
      <c r="D3" s="406"/>
      <c r="E3" s="406"/>
      <c r="F3" s="406"/>
      <c r="G3" s="406"/>
      <c r="H3" s="406"/>
      <c r="I3" s="406"/>
    </row>
    <row r="4" spans="1:9" ht="24.75" customHeight="1" x14ac:dyDescent="0.25">
      <c r="A4" s="70"/>
      <c r="B4" s="406" t="s">
        <v>409</v>
      </c>
      <c r="C4" s="406"/>
      <c r="D4" s="406"/>
      <c r="E4" s="406"/>
      <c r="F4" s="406"/>
      <c r="G4" s="406"/>
      <c r="H4" s="406"/>
      <c r="I4" s="406"/>
    </row>
    <row r="5" spans="1:9" ht="24.75" customHeight="1" x14ac:dyDescent="0.25">
      <c r="A5" s="70"/>
      <c r="B5" s="406" t="s">
        <v>410</v>
      </c>
      <c r="C5" s="406"/>
      <c r="D5" s="406"/>
      <c r="E5" s="406"/>
      <c r="F5" s="406"/>
      <c r="G5" s="406"/>
      <c r="H5" s="406"/>
      <c r="I5" s="406"/>
    </row>
    <row r="6" spans="1:9" ht="24.75" customHeight="1" x14ac:dyDescent="0.25">
      <c r="A6" s="70"/>
      <c r="B6" s="407">
        <v>45169</v>
      </c>
      <c r="C6" s="407"/>
      <c r="D6" s="407"/>
      <c r="E6" s="407"/>
      <c r="F6" s="407"/>
      <c r="G6" s="407"/>
      <c r="H6" s="407"/>
      <c r="I6" s="407"/>
    </row>
    <row r="7" spans="1:9" ht="24.75" customHeight="1" thickBot="1" x14ac:dyDescent="0.3">
      <c r="A7" s="70"/>
      <c r="B7" s="71"/>
      <c r="C7" s="70"/>
      <c r="D7" s="70"/>
      <c r="E7" s="70"/>
      <c r="F7" s="70"/>
      <c r="G7" s="70"/>
      <c r="H7" s="70"/>
      <c r="I7" s="70"/>
    </row>
    <row r="8" spans="1:9" ht="57.75" customHeight="1" thickBot="1" x14ac:dyDescent="0.25">
      <c r="A8" s="280" t="s">
        <v>411</v>
      </c>
      <c r="B8" s="281" t="s">
        <v>412</v>
      </c>
      <c r="C8" s="281" t="s">
        <v>413</v>
      </c>
      <c r="D8" s="281" t="s">
        <v>414</v>
      </c>
      <c r="E8" s="282" t="s">
        <v>415</v>
      </c>
      <c r="F8" s="282" t="s">
        <v>440</v>
      </c>
      <c r="G8" s="283" t="s">
        <v>416</v>
      </c>
      <c r="H8" s="283" t="s">
        <v>447</v>
      </c>
      <c r="I8" s="283" t="s">
        <v>417</v>
      </c>
    </row>
    <row r="9" spans="1:9" ht="24.75" customHeight="1" x14ac:dyDescent="0.2">
      <c r="A9" s="276">
        <v>1</v>
      </c>
      <c r="B9" s="277" t="s">
        <v>418</v>
      </c>
      <c r="C9" s="276" t="s">
        <v>419</v>
      </c>
      <c r="D9" s="277" t="s">
        <v>420</v>
      </c>
      <c r="E9" s="278">
        <v>65295</v>
      </c>
      <c r="F9" s="276">
        <v>10</v>
      </c>
      <c r="G9" s="278">
        <f>E9/F9</f>
        <v>6529.5</v>
      </c>
      <c r="H9" s="278">
        <v>52236</v>
      </c>
      <c r="I9" s="279">
        <f>+E9-H9</f>
        <v>13059</v>
      </c>
    </row>
    <row r="10" spans="1:9" ht="24.75" customHeight="1" x14ac:dyDescent="0.2">
      <c r="A10" s="74">
        <v>2</v>
      </c>
      <c r="B10" s="73" t="s">
        <v>509</v>
      </c>
      <c r="C10" s="74" t="s">
        <v>421</v>
      </c>
      <c r="D10" s="73" t="s">
        <v>422</v>
      </c>
      <c r="E10" s="72">
        <v>64595</v>
      </c>
      <c r="F10" s="74">
        <v>10</v>
      </c>
      <c r="G10" s="72">
        <f>E10/F10</f>
        <v>6459.5</v>
      </c>
      <c r="H10" s="72">
        <v>38757</v>
      </c>
      <c r="I10" s="271">
        <f>+E10-H10</f>
        <v>25838</v>
      </c>
    </row>
    <row r="11" spans="1:9" ht="24.75" customHeight="1" x14ac:dyDescent="0.2">
      <c r="A11" s="74">
        <v>3</v>
      </c>
      <c r="B11" s="73" t="s">
        <v>423</v>
      </c>
      <c r="C11" s="74" t="s">
        <v>424</v>
      </c>
      <c r="D11" s="73" t="s">
        <v>425</v>
      </c>
      <c r="E11" s="72">
        <v>71795</v>
      </c>
      <c r="F11" s="74">
        <v>10</v>
      </c>
      <c r="G11" s="72">
        <f>E11/F11</f>
        <v>7179.5</v>
      </c>
      <c r="H11" s="72">
        <v>57436</v>
      </c>
      <c r="I11" s="271">
        <f>+E11-H11</f>
        <v>14359</v>
      </c>
    </row>
    <row r="12" spans="1:9" ht="24.75" customHeight="1" x14ac:dyDescent="0.35">
      <c r="A12" s="74">
        <v>4</v>
      </c>
      <c r="B12" s="73" t="s">
        <v>570</v>
      </c>
      <c r="C12" s="74"/>
      <c r="D12" s="73"/>
      <c r="E12" s="97">
        <v>68995</v>
      </c>
      <c r="F12" s="74">
        <v>10</v>
      </c>
      <c r="G12" s="97">
        <f>+E12/10</f>
        <v>6899.5</v>
      </c>
      <c r="H12" s="97">
        <v>13799</v>
      </c>
      <c r="I12" s="298">
        <f>+E12-H12</f>
        <v>55196</v>
      </c>
    </row>
    <row r="13" spans="1:9" s="251" customFormat="1" ht="24.75" customHeight="1" x14ac:dyDescent="0.4">
      <c r="A13" s="73"/>
      <c r="B13" s="73" t="s">
        <v>515</v>
      </c>
      <c r="C13" s="73"/>
      <c r="D13" s="73"/>
      <c r="E13" s="274">
        <f>SUM(E9:E12)</f>
        <v>270680</v>
      </c>
      <c r="F13" s="275"/>
      <c r="G13" s="274">
        <f>SUM(G9:G12)</f>
        <v>27068</v>
      </c>
      <c r="H13" s="274">
        <f>SUM(H9:H12)</f>
        <v>162228</v>
      </c>
      <c r="I13" s="274">
        <f>SUM(I9:I12)</f>
        <v>108452</v>
      </c>
    </row>
    <row r="14" spans="1:9" ht="11.25" customHeight="1" x14ac:dyDescent="0.4">
      <c r="A14" s="73"/>
      <c r="B14" s="272"/>
      <c r="C14" s="73"/>
      <c r="D14" s="273"/>
      <c r="E14" s="274"/>
      <c r="F14" s="96"/>
      <c r="G14" s="274"/>
      <c r="H14" s="274"/>
      <c r="I14" s="274"/>
    </row>
    <row r="15" spans="1:9" ht="24.75" customHeight="1" x14ac:dyDescent="0.2">
      <c r="A15" s="1"/>
      <c r="B15" s="1"/>
      <c r="C15" s="1"/>
      <c r="D15" s="1"/>
      <c r="E15" s="1"/>
      <c r="F15" s="1"/>
      <c r="G15" s="1"/>
      <c r="H15" s="1"/>
      <c r="I15" s="1"/>
    </row>
    <row r="18" spans="9:9" ht="24.75" customHeight="1" x14ac:dyDescent="0.2">
      <c r="I18" s="243">
        <f>+I13-I16</f>
        <v>108452</v>
      </c>
    </row>
  </sheetData>
  <mergeCells count="4">
    <mergeCell ref="B4:I4"/>
    <mergeCell ref="B5:I5"/>
    <mergeCell ref="B6:I6"/>
    <mergeCell ref="B3:I3"/>
  </mergeCells>
  <pageMargins left="0.51181102362204722" right="0.70866141732283472" top="0.74803149606299213" bottom="0.74803149606299213" header="0.31496062992125984" footer="0.31496062992125984"/>
  <pageSetup scale="70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1"/>
  <sheetViews>
    <sheetView workbookViewId="0">
      <selection activeCell="B11" sqref="B11"/>
    </sheetView>
  </sheetViews>
  <sheetFormatPr baseColWidth="10" defaultColWidth="9.140625" defaultRowHeight="24.75" customHeight="1" x14ac:dyDescent="0.2"/>
  <cols>
    <col min="1" max="1" width="11.7109375" style="1" customWidth="1"/>
    <col min="2" max="2" width="42.28515625" style="1" customWidth="1"/>
    <col min="3" max="3" width="20" style="1" hidden="1" customWidth="1"/>
    <col min="4" max="4" width="14.140625" style="1" hidden="1" customWidth="1"/>
    <col min="5" max="5" width="14.85546875" style="1" hidden="1" customWidth="1"/>
    <col min="6" max="6" width="15.42578125" style="1" customWidth="1"/>
    <col min="7" max="7" width="15.7109375" style="1" bestFit="1" customWidth="1"/>
    <col min="8" max="8" width="15.85546875" style="1" customWidth="1"/>
    <col min="9" max="16384" width="9.140625" style="1"/>
  </cols>
  <sheetData>
    <row r="3" spans="2:8" ht="24.75" customHeight="1" x14ac:dyDescent="0.25">
      <c r="B3" s="398" t="s">
        <v>233</v>
      </c>
      <c r="C3" s="398"/>
      <c r="D3" s="398"/>
      <c r="E3" s="398"/>
      <c r="F3" s="398"/>
    </row>
    <row r="4" spans="2:8" ht="24.75" customHeight="1" x14ac:dyDescent="0.25">
      <c r="B4" s="398" t="s">
        <v>227</v>
      </c>
      <c r="C4" s="398"/>
      <c r="D4" s="398"/>
      <c r="E4" s="398"/>
      <c r="F4" s="398"/>
    </row>
    <row r="5" spans="2:8" ht="24.75" customHeight="1" x14ac:dyDescent="0.25">
      <c r="B5" s="398" t="s">
        <v>237</v>
      </c>
      <c r="C5" s="398"/>
      <c r="D5" s="398"/>
      <c r="E5" s="398"/>
      <c r="F5" s="398"/>
    </row>
    <row r="6" spans="2:8" ht="24.75" customHeight="1" x14ac:dyDescent="0.25">
      <c r="B6" s="399">
        <v>45169</v>
      </c>
      <c r="C6" s="399"/>
      <c r="D6" s="399"/>
      <c r="E6" s="399"/>
      <c r="F6" s="399"/>
      <c r="G6" s="11"/>
    </row>
    <row r="7" spans="2:8" ht="9" customHeight="1" thickBot="1" x14ac:dyDescent="0.25">
      <c r="G7" s="2"/>
    </row>
    <row r="8" spans="2:8" ht="24.75" customHeight="1" thickBot="1" x14ac:dyDescent="0.3">
      <c r="B8" s="30" t="s">
        <v>207</v>
      </c>
      <c r="C8" s="31" t="s">
        <v>212</v>
      </c>
      <c r="E8" s="7"/>
      <c r="F8" s="31" t="s">
        <v>212</v>
      </c>
    </row>
    <row r="9" spans="2:8" ht="24.75" customHeight="1" x14ac:dyDescent="0.2">
      <c r="B9" s="28" t="s">
        <v>336</v>
      </c>
      <c r="C9" s="98">
        <f>337282.94+150156.33</f>
        <v>487439.27</v>
      </c>
      <c r="D9" s="2">
        <f>1026.29+144015.34</f>
        <v>145041.63</v>
      </c>
      <c r="E9" s="2">
        <f>-168740.87-165683.61</f>
        <v>-334424.48</v>
      </c>
      <c r="F9" s="98">
        <v>176883.17</v>
      </c>
      <c r="G9" s="7"/>
    </row>
    <row r="10" spans="2:8" ht="24.75" customHeight="1" x14ac:dyDescent="0.2">
      <c r="B10" s="28" t="s">
        <v>458</v>
      </c>
      <c r="C10" s="100">
        <v>74274.97</v>
      </c>
      <c r="D10" s="1">
        <f>513.14+72007.67</f>
        <v>72520.81</v>
      </c>
      <c r="E10" s="7">
        <f>-74274.97-72520.81</f>
        <v>-146795.78</v>
      </c>
      <c r="F10" s="98">
        <v>88441.57</v>
      </c>
      <c r="G10" s="7"/>
      <c r="H10" s="7"/>
    </row>
    <row r="11" spans="2:8" ht="24.75" customHeight="1" x14ac:dyDescent="0.4">
      <c r="B11" s="37" t="s">
        <v>225</v>
      </c>
      <c r="C11" s="27">
        <f>SUM(C9:C10)</f>
        <v>561714.24</v>
      </c>
      <c r="F11" s="27">
        <f>SUM(F9:F10)</f>
        <v>265324.74</v>
      </c>
    </row>
    <row r="12" spans="2:8" ht="24.75" customHeight="1" x14ac:dyDescent="0.2">
      <c r="B12" s="25"/>
      <c r="C12" s="13"/>
      <c r="F12" s="13"/>
    </row>
    <row r="13" spans="2:8" ht="24.75" customHeight="1" x14ac:dyDescent="0.2">
      <c r="C13" s="4"/>
      <c r="D13" s="6"/>
    </row>
    <row r="14" spans="2:8" ht="24.75" customHeight="1" x14ac:dyDescent="0.2">
      <c r="C14" s="4"/>
      <c r="E14" s="7"/>
    </row>
    <row r="15" spans="2:8" ht="24.75" customHeight="1" x14ac:dyDescent="0.2">
      <c r="C15" s="4"/>
      <c r="E15" s="7"/>
    </row>
    <row r="16" spans="2:8" ht="24.75" customHeight="1" x14ac:dyDescent="0.2">
      <c r="C16" s="4"/>
    </row>
    <row r="17" spans="3:3" ht="24.75" customHeight="1" x14ac:dyDescent="0.2">
      <c r="C17" s="4"/>
    </row>
    <row r="18" spans="3:3" ht="24.75" customHeight="1" x14ac:dyDescent="0.2">
      <c r="C18" s="4"/>
    </row>
    <row r="19" spans="3:3" ht="24.75" customHeight="1" x14ac:dyDescent="0.2">
      <c r="C19" s="4"/>
    </row>
    <row r="20" spans="3:3" ht="24.75" customHeight="1" x14ac:dyDescent="0.35">
      <c r="C20" s="99"/>
    </row>
    <row r="21" spans="3:3" ht="24.75" customHeight="1" x14ac:dyDescent="0.2">
      <c r="C21" s="6"/>
    </row>
  </sheetData>
  <mergeCells count="4">
    <mergeCell ref="B4:F4"/>
    <mergeCell ref="B5:F5"/>
    <mergeCell ref="B6:F6"/>
    <mergeCell ref="B3:F3"/>
  </mergeCells>
  <pageMargins left="0.7" right="0.7" top="0.75" bottom="0.75" header="0.3" footer="0.3"/>
  <pageSetup orientation="portrait" horizontalDpi="4294967293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24"/>
  <sheetViews>
    <sheetView topLeftCell="A4" zoomScaleNormal="100" workbookViewId="0">
      <selection activeCell="C15" sqref="C15"/>
    </sheetView>
  </sheetViews>
  <sheetFormatPr baseColWidth="10" defaultRowHeight="24.75" customHeight="1" x14ac:dyDescent="0.2"/>
  <cols>
    <col min="1" max="1" width="4.140625" style="1" customWidth="1"/>
    <col min="2" max="2" width="33.140625" style="1" bestFit="1" customWidth="1"/>
    <col min="3" max="3" width="38.140625" style="1" customWidth="1"/>
    <col min="4" max="4" width="22.85546875" style="1" customWidth="1"/>
    <col min="5" max="5" width="6.7109375" style="1" customWidth="1"/>
    <col min="6" max="6" width="11.42578125" style="1"/>
    <col min="7" max="7" width="11.42578125" style="2" customWidth="1"/>
    <col min="8" max="16384" width="11.42578125" style="1"/>
  </cols>
  <sheetData>
    <row r="3" spans="2:6" ht="24.75" customHeight="1" x14ac:dyDescent="0.2">
      <c r="B3" s="75"/>
      <c r="C3" s="75"/>
      <c r="D3" s="75"/>
      <c r="E3" s="75"/>
    </row>
    <row r="4" spans="2:6" ht="24.75" customHeight="1" x14ac:dyDescent="0.25">
      <c r="B4" s="398" t="s">
        <v>347</v>
      </c>
      <c r="C4" s="398"/>
      <c r="E4" s="75"/>
    </row>
    <row r="5" spans="2:6" ht="24.75" customHeight="1" x14ac:dyDescent="0.25">
      <c r="B5" s="398" t="s">
        <v>227</v>
      </c>
      <c r="C5" s="398"/>
      <c r="E5" s="75"/>
    </row>
    <row r="6" spans="2:6" ht="24.75" customHeight="1" x14ac:dyDescent="0.25">
      <c r="B6" s="398" t="s">
        <v>582</v>
      </c>
      <c r="C6" s="398"/>
      <c r="E6" s="75"/>
      <c r="F6" s="9"/>
    </row>
    <row r="7" spans="2:6" ht="24.75" customHeight="1" x14ac:dyDescent="0.25">
      <c r="B7" s="399">
        <v>45169</v>
      </c>
      <c r="C7" s="399"/>
      <c r="E7" s="75"/>
      <c r="F7" s="9"/>
    </row>
    <row r="8" spans="2:6" ht="24.75" customHeight="1" thickBot="1" x14ac:dyDescent="0.3">
      <c r="B8" s="24"/>
      <c r="C8" s="24"/>
      <c r="E8" s="75"/>
      <c r="F8" s="9"/>
    </row>
    <row r="9" spans="2:6" ht="24.75" customHeight="1" thickBot="1" x14ac:dyDescent="0.3">
      <c r="B9" s="30" t="s">
        <v>348</v>
      </c>
      <c r="C9" s="31" t="s">
        <v>212</v>
      </c>
      <c r="E9" s="75"/>
      <c r="F9" s="9"/>
    </row>
    <row r="10" spans="2:6" ht="24.75" customHeight="1" x14ac:dyDescent="0.25">
      <c r="B10" s="76" t="s">
        <v>345</v>
      </c>
      <c r="C10" s="77">
        <v>14394317.810000001</v>
      </c>
      <c r="E10" s="75"/>
      <c r="F10" s="101"/>
    </row>
    <row r="11" spans="2:6" ht="24.75" customHeight="1" x14ac:dyDescent="0.35">
      <c r="B11" s="78" t="s">
        <v>346</v>
      </c>
      <c r="C11" s="80">
        <v>381525.42</v>
      </c>
      <c r="E11" s="75"/>
      <c r="F11" s="24"/>
    </row>
    <row r="12" spans="2:6" ht="24.75" customHeight="1" x14ac:dyDescent="0.4">
      <c r="B12" s="81" t="s">
        <v>225</v>
      </c>
      <c r="C12" s="94">
        <f>SUM(C10:C11)</f>
        <v>14775843.23</v>
      </c>
      <c r="E12" s="75"/>
    </row>
    <row r="13" spans="2:6" ht="24.75" customHeight="1" thickBot="1" x14ac:dyDescent="0.25">
      <c r="B13" s="82"/>
      <c r="C13" s="83"/>
      <c r="E13" s="75"/>
    </row>
    <row r="15" spans="2:6" ht="24.75" customHeight="1" x14ac:dyDescent="0.2">
      <c r="E15" s="6"/>
    </row>
    <row r="16" spans="2:6" ht="24.75" customHeight="1" x14ac:dyDescent="0.2">
      <c r="E16" s="6"/>
    </row>
    <row r="17" spans="2:5" ht="24.75" customHeight="1" x14ac:dyDescent="0.2">
      <c r="E17" s="6"/>
    </row>
    <row r="18" spans="2:5" ht="24.75" customHeight="1" x14ac:dyDescent="0.2">
      <c r="E18" s="6"/>
    </row>
    <row r="20" spans="2:5" ht="24.75" customHeight="1" x14ac:dyDescent="0.2">
      <c r="B20" s="6"/>
      <c r="C20" s="6"/>
    </row>
    <row r="21" spans="2:5" ht="24.75" customHeight="1" x14ac:dyDescent="0.2">
      <c r="B21" s="6"/>
      <c r="C21" s="6"/>
    </row>
    <row r="22" spans="2:5" ht="24.75" customHeight="1" x14ac:dyDescent="0.2">
      <c r="B22" s="6"/>
      <c r="C22" s="6"/>
    </row>
    <row r="23" spans="2:5" ht="24.75" customHeight="1" x14ac:dyDescent="0.2">
      <c r="B23" s="6"/>
      <c r="C23" s="6"/>
    </row>
    <row r="24" spans="2:5" ht="24.75" customHeight="1" x14ac:dyDescent="0.2">
      <c r="B24" s="6"/>
      <c r="C24" s="6"/>
    </row>
  </sheetData>
  <mergeCells count="4">
    <mergeCell ref="B6:C6"/>
    <mergeCell ref="B7:C7"/>
    <mergeCell ref="B5:C5"/>
    <mergeCell ref="B4:C4"/>
  </mergeCells>
  <phoneticPr fontId="3" type="noConversion"/>
  <pageMargins left="0.7" right="0.7" top="0.75" bottom="0.75" header="0.3" footer="0.3"/>
  <pageSetup orientation="portrait" horizontalDpi="4294967293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3"/>
  <sheetViews>
    <sheetView topLeftCell="A3" workbookViewId="0">
      <selection activeCell="C15" sqref="C15"/>
    </sheetView>
  </sheetViews>
  <sheetFormatPr baseColWidth="10" defaultRowHeight="24.75" customHeight="1" x14ac:dyDescent="0.2"/>
  <cols>
    <col min="1" max="1" width="19.140625" style="1" customWidth="1"/>
    <col min="2" max="2" width="23" style="1" customWidth="1"/>
    <col min="3" max="3" width="24.7109375" style="1" customWidth="1"/>
    <col min="4" max="16384" width="11.42578125" style="1"/>
  </cols>
  <sheetData>
    <row r="3" spans="2:9" ht="24.75" customHeight="1" x14ac:dyDescent="0.25">
      <c r="B3" s="398" t="s">
        <v>238</v>
      </c>
      <c r="C3" s="398"/>
    </row>
    <row r="4" spans="2:9" ht="30" customHeight="1" x14ac:dyDescent="0.25">
      <c r="B4" s="398" t="s">
        <v>227</v>
      </c>
      <c r="C4" s="398"/>
    </row>
    <row r="5" spans="2:9" ht="31.5" customHeight="1" x14ac:dyDescent="0.25">
      <c r="B5" s="408" t="s">
        <v>550</v>
      </c>
      <c r="C5" s="408"/>
      <c r="H5" s="9"/>
      <c r="I5" s="9"/>
    </row>
    <row r="6" spans="2:9" ht="24.75" customHeight="1" x14ac:dyDescent="0.25">
      <c r="B6" s="399">
        <v>45169</v>
      </c>
      <c r="C6" s="399"/>
    </row>
    <row r="7" spans="2:9" ht="24.75" customHeight="1" thickBot="1" x14ac:dyDescent="0.3">
      <c r="B7" s="24"/>
      <c r="C7" s="24"/>
    </row>
    <row r="8" spans="2:9" ht="24.75" customHeight="1" thickBot="1" x14ac:dyDescent="0.3">
      <c r="B8" s="30" t="s">
        <v>240</v>
      </c>
      <c r="C8" s="31" t="s">
        <v>212</v>
      </c>
    </row>
    <row r="9" spans="2:9" ht="24.75" customHeight="1" x14ac:dyDescent="0.2">
      <c r="B9" s="76" t="s">
        <v>364</v>
      </c>
      <c r="C9" s="77">
        <f>+'NOTA 5-SEG PAG X ANT'!F51</f>
        <v>97701.152500000026</v>
      </c>
    </row>
    <row r="10" spans="2:9" ht="24.75" customHeight="1" x14ac:dyDescent="0.35">
      <c r="B10" s="78" t="s">
        <v>365</v>
      </c>
      <c r="C10" s="80">
        <f>+'NOTA 5 - LIC MS 365 AMORTIZ'!F42</f>
        <v>743398.2100000002</v>
      </c>
    </row>
    <row r="11" spans="2:9" ht="24.75" customHeight="1" x14ac:dyDescent="0.4">
      <c r="B11" s="81" t="s">
        <v>225</v>
      </c>
      <c r="C11" s="94">
        <f>SUM(C9:C10)</f>
        <v>841099.36250000028</v>
      </c>
    </row>
    <row r="12" spans="2:9" ht="24.75" customHeight="1" thickBot="1" x14ac:dyDescent="0.25">
      <c r="B12" s="82"/>
      <c r="C12" s="83"/>
    </row>
    <row r="13" spans="2:9" ht="24.75" customHeight="1" x14ac:dyDescent="0.2">
      <c r="C13" s="6"/>
    </row>
  </sheetData>
  <mergeCells count="4">
    <mergeCell ref="B3:C3"/>
    <mergeCell ref="B5:C5"/>
    <mergeCell ref="B6:C6"/>
    <mergeCell ref="B4:C4"/>
  </mergeCells>
  <pageMargins left="0.7" right="0.7" top="0.75" bottom="0.75" header="0.3" footer="0.3"/>
  <pageSetup orientation="portrait" horizontalDpi="4294967293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G53"/>
  <sheetViews>
    <sheetView zoomScale="110" zoomScaleNormal="110" workbookViewId="0">
      <selection activeCell="C15" sqref="C15"/>
    </sheetView>
  </sheetViews>
  <sheetFormatPr baseColWidth="10" defaultColWidth="11.5703125" defaultRowHeight="15" x14ac:dyDescent="0.2"/>
  <cols>
    <col min="1" max="1" width="11.5703125" style="1" customWidth="1"/>
    <col min="2" max="2" width="24.5703125" style="1" customWidth="1"/>
    <col min="3" max="3" width="12" style="1" customWidth="1"/>
    <col min="4" max="4" width="19.28515625" style="1" bestFit="1" customWidth="1"/>
    <col min="5" max="5" width="11.5703125" style="1" customWidth="1"/>
    <col min="6" max="6" width="15.85546875" style="1" customWidth="1"/>
    <col min="7" max="16384" width="11.5703125" style="1"/>
  </cols>
  <sheetData>
    <row r="4" spans="2:6" ht="15.75" x14ac:dyDescent="0.25">
      <c r="B4" s="398" t="s">
        <v>238</v>
      </c>
      <c r="C4" s="398"/>
      <c r="D4" s="398"/>
      <c r="E4" s="398"/>
      <c r="F4" s="398"/>
    </row>
    <row r="5" spans="2:6" ht="15.75" x14ac:dyDescent="0.25">
      <c r="B5" s="398" t="s">
        <v>227</v>
      </c>
      <c r="C5" s="398"/>
      <c r="D5" s="398"/>
      <c r="E5" s="398"/>
      <c r="F5" s="398"/>
    </row>
    <row r="6" spans="2:6" ht="15.75" x14ac:dyDescent="0.25">
      <c r="B6" s="398" t="s">
        <v>281</v>
      </c>
      <c r="C6" s="398"/>
      <c r="D6" s="398"/>
      <c r="E6" s="398"/>
      <c r="F6" s="398"/>
    </row>
    <row r="7" spans="2:6" ht="15.75" x14ac:dyDescent="0.25">
      <c r="B7" s="409">
        <v>45169</v>
      </c>
      <c r="C7" s="409"/>
      <c r="D7" s="409"/>
      <c r="E7" s="409"/>
      <c r="F7" s="409"/>
    </row>
    <row r="9" spans="2:6" ht="23.25" customHeight="1" x14ac:dyDescent="0.2">
      <c r="B9" s="393" t="s">
        <v>374</v>
      </c>
      <c r="C9" s="393"/>
      <c r="D9" s="393"/>
      <c r="E9" s="393"/>
      <c r="F9" s="393"/>
    </row>
    <row r="10" spans="2:6" ht="23.25" customHeight="1" x14ac:dyDescent="0.25">
      <c r="B10" s="393" t="s">
        <v>461</v>
      </c>
      <c r="C10" s="393"/>
      <c r="D10" s="393"/>
      <c r="E10" s="393"/>
      <c r="F10" s="393"/>
    </row>
    <row r="11" spans="2:6" ht="23.25" customHeight="1" x14ac:dyDescent="0.25">
      <c r="B11" s="393" t="s">
        <v>462</v>
      </c>
      <c r="C11" s="393"/>
      <c r="D11" s="393"/>
      <c r="E11" s="393"/>
      <c r="F11" s="393"/>
    </row>
    <row r="12" spans="2:6" ht="23.25" customHeight="1" x14ac:dyDescent="0.2">
      <c r="B12" s="14"/>
      <c r="C12" s="14"/>
      <c r="D12" s="14"/>
      <c r="E12" s="14"/>
      <c r="F12" s="14"/>
    </row>
    <row r="13" spans="2:6" ht="18" customHeight="1" thickBot="1" x14ac:dyDescent="0.3">
      <c r="B13" s="92" t="s">
        <v>202</v>
      </c>
      <c r="C13" s="92"/>
      <c r="D13" s="92" t="s">
        <v>282</v>
      </c>
      <c r="E13" s="92"/>
      <c r="F13" s="102" t="s">
        <v>466</v>
      </c>
    </row>
    <row r="14" spans="2:6" x14ac:dyDescent="0.2">
      <c r="B14" s="103" t="s">
        <v>375</v>
      </c>
      <c r="D14" s="1" t="s">
        <v>216</v>
      </c>
      <c r="F14" s="104">
        <v>286692.34999999998</v>
      </c>
    </row>
    <row r="15" spans="2:6" x14ac:dyDescent="0.2">
      <c r="B15" s="103" t="s">
        <v>376</v>
      </c>
      <c r="D15" s="1" t="s">
        <v>217</v>
      </c>
      <c r="F15" s="104">
        <v>235451</v>
      </c>
    </row>
    <row r="16" spans="2:6" x14ac:dyDescent="0.2">
      <c r="B16" s="103" t="s">
        <v>377</v>
      </c>
      <c r="D16" s="1" t="s">
        <v>218</v>
      </c>
      <c r="F16" s="104">
        <v>5800</v>
      </c>
    </row>
    <row r="17" spans="2:7" x14ac:dyDescent="0.2">
      <c r="B17" s="103" t="s">
        <v>378</v>
      </c>
      <c r="D17" s="1" t="s">
        <v>219</v>
      </c>
      <c r="F17" s="104">
        <v>23964.99</v>
      </c>
    </row>
    <row r="18" spans="2:7" x14ac:dyDescent="0.2">
      <c r="B18" s="103" t="s">
        <v>379</v>
      </c>
      <c r="D18" s="1" t="s">
        <v>220</v>
      </c>
      <c r="F18" s="104">
        <v>32103.05</v>
      </c>
    </row>
    <row r="19" spans="2:7" x14ac:dyDescent="0.2">
      <c r="B19" s="103" t="s">
        <v>380</v>
      </c>
      <c r="D19" s="1" t="s">
        <v>221</v>
      </c>
      <c r="F19" s="104">
        <v>17400</v>
      </c>
    </row>
    <row r="20" spans="2:7" ht="17.25" x14ac:dyDescent="0.35">
      <c r="B20" s="103" t="s">
        <v>223</v>
      </c>
      <c r="F20" s="111">
        <v>-15204.62</v>
      </c>
    </row>
    <row r="21" spans="2:7" ht="18" x14ac:dyDescent="0.4">
      <c r="B21" s="105" t="s">
        <v>176</v>
      </c>
      <c r="C21" s="52"/>
      <c r="D21" s="52"/>
      <c r="E21" s="52"/>
      <c r="F21" s="106">
        <f>SUM(F14:F20)</f>
        <v>586206.77</v>
      </c>
    </row>
    <row r="22" spans="2:7" x14ac:dyDescent="0.2">
      <c r="F22" s="4"/>
    </row>
    <row r="23" spans="2:7" x14ac:dyDescent="0.2">
      <c r="B23" s="107" t="s">
        <v>390</v>
      </c>
      <c r="C23" s="108"/>
      <c r="D23" s="108"/>
      <c r="E23" s="108"/>
      <c r="F23" s="109">
        <v>586206.77</v>
      </c>
    </row>
    <row r="24" spans="2:7" ht="17.25" x14ac:dyDescent="0.35">
      <c r="B24" s="110"/>
      <c r="F24" s="111"/>
    </row>
    <row r="25" spans="2:7" ht="18" x14ac:dyDescent="0.4">
      <c r="B25" s="112" t="s">
        <v>463</v>
      </c>
      <c r="C25" s="113"/>
      <c r="D25" s="113"/>
      <c r="E25" s="113"/>
      <c r="F25" s="114">
        <f>SUM(F23:F24)</f>
        <v>586206.77</v>
      </c>
    </row>
    <row r="26" spans="2:7" x14ac:dyDescent="0.2">
      <c r="F26" s="4"/>
    </row>
    <row r="27" spans="2:7" x14ac:dyDescent="0.2">
      <c r="F27" s="2"/>
    </row>
    <row r="28" spans="2:7" x14ac:dyDescent="0.2">
      <c r="B28" s="115" t="s">
        <v>222</v>
      </c>
      <c r="C28" s="115"/>
      <c r="D28" s="115"/>
      <c r="E28" s="115"/>
      <c r="F28" s="116">
        <f>+F21/12</f>
        <v>48850.564166666671</v>
      </c>
    </row>
    <row r="29" spans="2:7" x14ac:dyDescent="0.2">
      <c r="F29" s="2"/>
    </row>
    <row r="30" spans="2:7" x14ac:dyDescent="0.2">
      <c r="B30" s="1" t="s">
        <v>381</v>
      </c>
      <c r="D30" s="1">
        <v>2</v>
      </c>
      <c r="F30" s="2">
        <f>+F28*D30</f>
        <v>97701.128333333341</v>
      </c>
      <c r="G30" s="6"/>
    </row>
    <row r="31" spans="2:7" x14ac:dyDescent="0.2">
      <c r="F31" s="2"/>
    </row>
    <row r="32" spans="2:7" x14ac:dyDescent="0.2">
      <c r="B32" s="1" t="s">
        <v>382</v>
      </c>
      <c r="D32" s="1">
        <v>3</v>
      </c>
      <c r="F32" s="2">
        <f>+D32*F28</f>
        <v>146551.6925</v>
      </c>
      <c r="G32" s="6"/>
    </row>
    <row r="33" spans="2:7" x14ac:dyDescent="0.2">
      <c r="F33" s="2"/>
    </row>
    <row r="34" spans="2:7" x14ac:dyDescent="0.2">
      <c r="B34" s="1" t="s">
        <v>464</v>
      </c>
      <c r="D34" s="1">
        <v>7</v>
      </c>
      <c r="F34" s="2">
        <f>+D34*F28</f>
        <v>341953.94916666672</v>
      </c>
      <c r="G34" s="6"/>
    </row>
    <row r="35" spans="2:7" x14ac:dyDescent="0.2">
      <c r="F35" s="2"/>
    </row>
    <row r="36" spans="2:7" x14ac:dyDescent="0.2">
      <c r="F36" s="2"/>
    </row>
    <row r="37" spans="2:7" x14ac:dyDescent="0.2">
      <c r="B37" s="70" t="s">
        <v>538</v>
      </c>
      <c r="C37" s="70"/>
      <c r="D37" s="70"/>
      <c r="E37" s="70"/>
      <c r="F37" s="95">
        <v>48850.559999999998</v>
      </c>
      <c r="G37" s="6"/>
    </row>
    <row r="38" spans="2:7" x14ac:dyDescent="0.2">
      <c r="B38" s="1" t="s">
        <v>539</v>
      </c>
      <c r="F38" s="2">
        <v>48850.564166666671</v>
      </c>
    </row>
    <row r="39" spans="2:7" x14ac:dyDescent="0.2">
      <c r="B39" s="1" t="s">
        <v>540</v>
      </c>
      <c r="F39" s="2">
        <v>48850.5641666667</v>
      </c>
    </row>
    <row r="40" spans="2:7" x14ac:dyDescent="0.2">
      <c r="B40" s="1" t="s">
        <v>537</v>
      </c>
      <c r="F40" s="2">
        <v>48850.5641666667</v>
      </c>
    </row>
    <row r="41" spans="2:7" x14ac:dyDescent="0.2">
      <c r="B41" s="1" t="s">
        <v>541</v>
      </c>
      <c r="F41" s="2">
        <v>48850.564166666671</v>
      </c>
    </row>
    <row r="42" spans="2:7" x14ac:dyDescent="0.2">
      <c r="B42" s="1" t="s">
        <v>542</v>
      </c>
      <c r="F42" s="2">
        <v>48850.564166666671</v>
      </c>
    </row>
    <row r="43" spans="2:7" x14ac:dyDescent="0.2">
      <c r="B43" s="1" t="s">
        <v>543</v>
      </c>
      <c r="F43" s="2">
        <v>48850.564166666671</v>
      </c>
    </row>
    <row r="44" spans="2:7" x14ac:dyDescent="0.2">
      <c r="B44" s="1" t="s">
        <v>544</v>
      </c>
      <c r="F44" s="2">
        <v>48850.564166666671</v>
      </c>
    </row>
    <row r="45" spans="2:7" x14ac:dyDescent="0.2">
      <c r="B45" s="1" t="s">
        <v>544</v>
      </c>
      <c r="F45" s="2">
        <v>48850.564166666671</v>
      </c>
    </row>
    <row r="46" spans="2:7" x14ac:dyDescent="0.2">
      <c r="B46" s="61" t="s">
        <v>545</v>
      </c>
      <c r="F46" s="18">
        <v>48850.564166666671</v>
      </c>
    </row>
    <row r="47" spans="2:7" hidden="1" x14ac:dyDescent="0.2">
      <c r="B47" s="1" t="s">
        <v>546</v>
      </c>
      <c r="F47" s="2"/>
    </row>
    <row r="48" spans="2:7" hidden="1" x14ac:dyDescent="0.2">
      <c r="B48" s="1" t="s">
        <v>547</v>
      </c>
      <c r="F48" s="2"/>
    </row>
    <row r="49" spans="2:6" ht="16.899999999999999" customHeight="1" x14ac:dyDescent="0.25">
      <c r="B49" s="1" t="s">
        <v>203</v>
      </c>
      <c r="F49" s="15">
        <f>SUM(F37:F48)-0.02</f>
        <v>488505.61749999999</v>
      </c>
    </row>
    <row r="50" spans="2:6" x14ac:dyDescent="0.2">
      <c r="F50" s="4"/>
    </row>
    <row r="51" spans="2:6" ht="21" customHeight="1" x14ac:dyDescent="0.4">
      <c r="B51" s="71" t="s">
        <v>204</v>
      </c>
      <c r="C51" s="71"/>
      <c r="D51" s="71"/>
      <c r="E51" s="71"/>
      <c r="F51" s="117">
        <f>+F21-F49+0</f>
        <v>97701.152500000026</v>
      </c>
    </row>
    <row r="53" spans="2:6" x14ac:dyDescent="0.2">
      <c r="F53" s="6"/>
    </row>
  </sheetData>
  <mergeCells count="7">
    <mergeCell ref="B4:F4"/>
    <mergeCell ref="B5:F5"/>
    <mergeCell ref="B7:F7"/>
    <mergeCell ref="B10:F10"/>
    <mergeCell ref="B11:F11"/>
    <mergeCell ref="B6:F6"/>
    <mergeCell ref="B9:F9"/>
  </mergeCells>
  <phoneticPr fontId="3" type="noConversion"/>
  <pageMargins left="0.70866141732283472" right="0.70866141732283472" top="0.74803149606299213" bottom="0.74803149606299213" header="0.31496062992125984" footer="0.31496062992125984"/>
  <pageSetup scale="89" orientation="portrait" horizontalDpi="4294967293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activeCell="C15" sqref="C15"/>
    </sheetView>
  </sheetViews>
  <sheetFormatPr baseColWidth="10" defaultRowHeight="24.75" customHeight="1" x14ac:dyDescent="0.2"/>
  <cols>
    <col min="1" max="1" width="4.7109375" style="118" customWidth="1"/>
    <col min="2" max="2" width="33" style="118" bestFit="1" customWidth="1"/>
    <col min="3" max="3" width="13.5703125" style="118" customWidth="1"/>
    <col min="4" max="4" width="17" style="118" customWidth="1"/>
    <col min="5" max="5" width="11.42578125" style="118" bestFit="1" customWidth="1"/>
    <col min="6" max="6" width="18.85546875" style="118" customWidth="1"/>
    <col min="7" max="16384" width="11.42578125" style="1"/>
  </cols>
  <sheetData>
    <row r="1" spans="1:6" ht="15.95" customHeight="1" x14ac:dyDescent="0.2">
      <c r="A1" s="1"/>
      <c r="B1" s="1"/>
      <c r="C1" s="1"/>
      <c r="D1" s="1"/>
      <c r="E1" s="1"/>
      <c r="F1" s="1"/>
    </row>
    <row r="2" spans="1:6" ht="15.95" customHeight="1" x14ac:dyDescent="0.2">
      <c r="A2" s="1"/>
      <c r="B2" s="1"/>
      <c r="C2" s="1"/>
      <c r="D2" s="1"/>
      <c r="E2" s="1"/>
      <c r="F2" s="1"/>
    </row>
    <row r="3" spans="1:6" ht="15.95" customHeight="1" x14ac:dyDescent="0.25">
      <c r="A3" s="1"/>
      <c r="B3" s="398" t="s">
        <v>238</v>
      </c>
      <c r="C3" s="398"/>
      <c r="D3" s="398"/>
      <c r="E3" s="398"/>
      <c r="F3" s="398"/>
    </row>
    <row r="4" spans="1:6" ht="15.95" customHeight="1" x14ac:dyDescent="0.25">
      <c r="A4" s="1"/>
      <c r="B4" s="398" t="s">
        <v>227</v>
      </c>
      <c r="C4" s="398"/>
      <c r="D4" s="398"/>
      <c r="E4" s="398"/>
      <c r="F4" s="398"/>
    </row>
    <row r="5" spans="1:6" ht="15.95" customHeight="1" x14ac:dyDescent="0.25">
      <c r="A5" s="1"/>
      <c r="B5" s="398" t="s">
        <v>356</v>
      </c>
      <c r="C5" s="398"/>
      <c r="D5" s="398"/>
      <c r="E5" s="398"/>
      <c r="F5" s="398"/>
    </row>
    <row r="6" spans="1:6" ht="15.95" customHeight="1" x14ac:dyDescent="0.25">
      <c r="A6" s="1"/>
      <c r="B6" s="409">
        <v>45169</v>
      </c>
      <c r="C6" s="409"/>
      <c r="D6" s="409"/>
      <c r="E6" s="409"/>
      <c r="F6" s="409"/>
    </row>
    <row r="7" spans="1:6" ht="15.95" customHeight="1" x14ac:dyDescent="0.2">
      <c r="A7" s="1"/>
      <c r="B7" s="1"/>
      <c r="C7" s="1"/>
      <c r="D7" s="1"/>
      <c r="E7" s="1"/>
      <c r="F7" s="1"/>
    </row>
    <row r="8" spans="1:6" ht="21.75" customHeight="1" x14ac:dyDescent="0.2">
      <c r="A8" s="1"/>
      <c r="B8" s="393" t="s">
        <v>548</v>
      </c>
      <c r="C8" s="393"/>
      <c r="D8" s="393"/>
      <c r="E8" s="393"/>
      <c r="F8" s="393"/>
    </row>
    <row r="9" spans="1:6" ht="21.75" customHeight="1" x14ac:dyDescent="0.25">
      <c r="A9" s="1"/>
      <c r="B9" s="393" t="s">
        <v>467</v>
      </c>
      <c r="C9" s="393"/>
      <c r="D9" s="393"/>
      <c r="E9" s="393"/>
      <c r="F9" s="393"/>
    </row>
    <row r="10" spans="1:6" ht="21.75" customHeight="1" x14ac:dyDescent="0.2">
      <c r="A10" s="1"/>
      <c r="B10" s="393" t="s">
        <v>369</v>
      </c>
      <c r="C10" s="393"/>
      <c r="D10" s="393"/>
      <c r="E10" s="393"/>
      <c r="F10" s="393"/>
    </row>
    <row r="11" spans="1:6" ht="15.95" customHeight="1" thickBot="1" x14ac:dyDescent="0.25">
      <c r="A11" s="1"/>
      <c r="B11" s="1"/>
      <c r="C11" s="1"/>
      <c r="D11" s="1"/>
      <c r="E11" s="1"/>
      <c r="F11" s="1"/>
    </row>
    <row r="12" spans="1:6" ht="23.25" customHeight="1" thickBot="1" x14ac:dyDescent="0.3">
      <c r="A12" s="1"/>
      <c r="B12" s="124" t="s">
        <v>235</v>
      </c>
      <c r="C12" s="125"/>
      <c r="D12" s="125" t="s">
        <v>465</v>
      </c>
      <c r="E12" s="125"/>
      <c r="F12" s="126" t="s">
        <v>466</v>
      </c>
    </row>
    <row r="13" spans="1:6" ht="22.5" customHeight="1" x14ac:dyDescent="0.35">
      <c r="A13" s="1"/>
      <c r="B13" s="128" t="s">
        <v>357</v>
      </c>
      <c r="C13" s="122"/>
      <c r="D13" s="123" t="s">
        <v>358</v>
      </c>
      <c r="E13" s="122"/>
      <c r="F13" s="136">
        <v>1894604.46</v>
      </c>
    </row>
    <row r="14" spans="1:6" ht="23.25" customHeight="1" thickBot="1" x14ac:dyDescent="0.45">
      <c r="A14" s="1"/>
      <c r="B14" s="130" t="s">
        <v>176</v>
      </c>
      <c r="C14" s="131"/>
      <c r="D14" s="131"/>
      <c r="E14" s="131"/>
      <c r="F14" s="132">
        <f>SUM(F13:F13)</f>
        <v>1894604.46</v>
      </c>
    </row>
    <row r="15" spans="1:6" ht="15.95" customHeight="1" thickBot="1" x14ac:dyDescent="0.25">
      <c r="A15" s="1"/>
      <c r="B15" s="1"/>
      <c r="C15" s="1"/>
      <c r="D15" s="1"/>
      <c r="E15" s="1"/>
      <c r="F15" s="1"/>
    </row>
    <row r="16" spans="1:6" ht="24" customHeight="1" thickBot="1" x14ac:dyDescent="0.3">
      <c r="A16" s="1"/>
      <c r="B16" s="124" t="s">
        <v>182</v>
      </c>
      <c r="C16" s="125" t="s">
        <v>359</v>
      </c>
      <c r="D16" s="125"/>
      <c r="E16" s="125" t="s">
        <v>360</v>
      </c>
      <c r="F16" s="126" t="s">
        <v>183</v>
      </c>
    </row>
    <row r="17" spans="1:6" ht="18" customHeight="1" x14ac:dyDescent="0.25">
      <c r="A17" s="1"/>
      <c r="B17" s="133" t="s">
        <v>361</v>
      </c>
      <c r="C17" s="122" t="s">
        <v>516</v>
      </c>
      <c r="D17" s="122"/>
      <c r="E17" s="127">
        <v>45026</v>
      </c>
      <c r="F17" s="129">
        <v>1894604.46</v>
      </c>
    </row>
    <row r="18" spans="1:6" ht="18.75" customHeight="1" x14ac:dyDescent="0.35">
      <c r="A18" s="1"/>
      <c r="B18" s="134"/>
      <c r="C18" s="120"/>
      <c r="D18" s="120"/>
      <c r="E18" s="121"/>
      <c r="F18" s="135"/>
    </row>
    <row r="19" spans="1:6" ht="15.95" customHeight="1" x14ac:dyDescent="0.2">
      <c r="A19" s="1"/>
      <c r="B19" s="1"/>
      <c r="C19" s="1"/>
      <c r="D19" s="1"/>
      <c r="E19" s="1"/>
      <c r="F19" s="1"/>
    </row>
    <row r="20" spans="1:6" ht="15.95" customHeight="1" x14ac:dyDescent="0.2">
      <c r="A20" s="1"/>
      <c r="B20" s="115" t="s">
        <v>222</v>
      </c>
      <c r="C20" s="115"/>
      <c r="D20" s="115"/>
      <c r="E20" s="115"/>
      <c r="F20" s="116">
        <f>+F17/12</f>
        <v>157883.70499999999</v>
      </c>
    </row>
    <row r="21" spans="1:6" ht="15.95" customHeight="1" x14ac:dyDescent="0.2">
      <c r="A21" s="1"/>
      <c r="B21" s="1"/>
      <c r="C21" s="1"/>
      <c r="D21" s="1"/>
      <c r="E21" s="1"/>
      <c r="F21" s="2"/>
    </row>
    <row r="22" spans="1:6" ht="15.95" customHeight="1" x14ac:dyDescent="0.2">
      <c r="A22" s="1"/>
      <c r="B22" s="14" t="s">
        <v>528</v>
      </c>
      <c r="C22" s="14" t="s">
        <v>531</v>
      </c>
      <c r="D22" s="2">
        <f>+F20</f>
        <v>157883.70499999999</v>
      </c>
      <c r="E22" s="20" t="s">
        <v>529</v>
      </c>
      <c r="F22" s="2">
        <f>+D22*10-0.01</f>
        <v>1578837.0399999998</v>
      </c>
    </row>
    <row r="23" spans="1:6" ht="15.95" customHeight="1" x14ac:dyDescent="0.2">
      <c r="A23" s="1"/>
      <c r="B23" s="14"/>
      <c r="C23" s="14"/>
      <c r="D23" s="2"/>
      <c r="E23" s="14"/>
      <c r="F23" s="2"/>
    </row>
    <row r="24" spans="1:6" ht="15.95" customHeight="1" x14ac:dyDescent="0.2">
      <c r="A24" s="1"/>
      <c r="B24" s="14" t="s">
        <v>549</v>
      </c>
      <c r="C24" s="14" t="s">
        <v>532</v>
      </c>
      <c r="D24" s="2">
        <f>+F20</f>
        <v>157883.70499999999</v>
      </c>
      <c r="E24" s="20" t="s">
        <v>530</v>
      </c>
      <c r="F24" s="2">
        <f>+F17-F22</f>
        <v>315767.42000000016</v>
      </c>
    </row>
    <row r="25" spans="1:6" ht="15.95" customHeight="1" x14ac:dyDescent="0.2">
      <c r="A25" s="1"/>
      <c r="B25" s="1"/>
      <c r="C25" s="14"/>
      <c r="D25" s="2"/>
      <c r="E25" s="1"/>
      <c r="F25" s="1"/>
    </row>
    <row r="26" spans="1:6" ht="15.95" customHeight="1" x14ac:dyDescent="0.2">
      <c r="A26" s="1"/>
      <c r="B26" s="1"/>
      <c r="C26" s="14"/>
      <c r="D26" s="2"/>
      <c r="E26" s="1"/>
      <c r="F26" s="1"/>
    </row>
    <row r="27" spans="1:6" ht="15.95" customHeight="1" x14ac:dyDescent="0.2">
      <c r="A27" s="1"/>
      <c r="B27" s="1"/>
      <c r="C27" s="14"/>
      <c r="D27" s="2"/>
      <c r="E27" s="1"/>
      <c r="F27" s="1"/>
    </row>
    <row r="28" spans="1:6" ht="18" customHeight="1" x14ac:dyDescent="0.2">
      <c r="A28" s="1"/>
      <c r="B28" s="70" t="s">
        <v>517</v>
      </c>
      <c r="C28" s="70"/>
      <c r="D28" s="70"/>
      <c r="E28" s="70"/>
      <c r="F28" s="95">
        <v>157883.71</v>
      </c>
    </row>
    <row r="29" spans="1:6" ht="18" customHeight="1" x14ac:dyDescent="0.2">
      <c r="A29" s="1"/>
      <c r="B29" s="70" t="s">
        <v>518</v>
      </c>
      <c r="C29" s="70"/>
      <c r="D29" s="70"/>
      <c r="E29" s="70"/>
      <c r="F29" s="95">
        <v>157883.71</v>
      </c>
    </row>
    <row r="30" spans="1:6" ht="18" customHeight="1" x14ac:dyDescent="0.2">
      <c r="A30" s="1"/>
      <c r="B30" s="70" t="s">
        <v>519</v>
      </c>
      <c r="C30" s="61"/>
      <c r="D30" s="61"/>
      <c r="E30" s="61"/>
      <c r="F30" s="95">
        <f>157883.71+203901+2.99</f>
        <v>361787.69999999995</v>
      </c>
    </row>
    <row r="31" spans="1:6" ht="18" customHeight="1" x14ac:dyDescent="0.2">
      <c r="A31" s="1"/>
      <c r="B31" s="1" t="s">
        <v>520</v>
      </c>
      <c r="C31" s="61"/>
      <c r="D31" s="61"/>
      <c r="E31" s="61"/>
      <c r="F31" s="95">
        <v>157883.71</v>
      </c>
    </row>
    <row r="32" spans="1:6" ht="18" customHeight="1" x14ac:dyDescent="0.2">
      <c r="A32" s="1"/>
      <c r="B32" s="1" t="s">
        <v>817</v>
      </c>
      <c r="C32" s="61"/>
      <c r="D32" s="61"/>
      <c r="E32" s="61"/>
      <c r="F32" s="95">
        <v>157883.71</v>
      </c>
    </row>
    <row r="33" spans="1:7" ht="18" customHeight="1" x14ac:dyDescent="0.35">
      <c r="A33" s="1"/>
      <c r="B33" s="61" t="s">
        <v>521</v>
      </c>
      <c r="C33" s="70"/>
      <c r="D33" s="70"/>
      <c r="E33" s="70"/>
      <c r="F33" s="285">
        <v>157883.71</v>
      </c>
    </row>
    <row r="34" spans="1:7" ht="18" hidden="1" customHeight="1" x14ac:dyDescent="0.2">
      <c r="A34" s="1"/>
      <c r="B34" s="70" t="s">
        <v>522</v>
      </c>
      <c r="C34" s="70"/>
      <c r="D34" s="70"/>
      <c r="E34" s="70"/>
      <c r="F34" s="95"/>
    </row>
    <row r="35" spans="1:7" ht="18" hidden="1" customHeight="1" x14ac:dyDescent="0.2">
      <c r="A35" s="1"/>
      <c r="B35" s="70" t="s">
        <v>523</v>
      </c>
      <c r="C35" s="70"/>
      <c r="D35" s="70"/>
      <c r="E35" s="70"/>
      <c r="F35" s="95"/>
    </row>
    <row r="36" spans="1:7" ht="18" hidden="1" customHeight="1" x14ac:dyDescent="0.2">
      <c r="A36" s="1"/>
      <c r="B36" s="70" t="s">
        <v>524</v>
      </c>
      <c r="C36" s="70"/>
      <c r="D36" s="70"/>
      <c r="E36" s="70"/>
      <c r="F36" s="95"/>
    </row>
    <row r="37" spans="1:7" ht="18" hidden="1" customHeight="1" x14ac:dyDescent="0.2">
      <c r="A37" s="1"/>
      <c r="B37" s="70" t="s">
        <v>525</v>
      </c>
      <c r="C37" s="70"/>
      <c r="D37" s="70"/>
      <c r="E37" s="70"/>
      <c r="F37" s="95"/>
    </row>
    <row r="38" spans="1:7" ht="18" hidden="1" customHeight="1" x14ac:dyDescent="0.2">
      <c r="A38" s="1"/>
      <c r="B38" s="1" t="s">
        <v>526</v>
      </c>
      <c r="C38" s="1"/>
      <c r="D38" s="1"/>
      <c r="E38" s="1"/>
      <c r="F38" s="2"/>
    </row>
    <row r="39" spans="1:7" ht="18" hidden="1" customHeight="1" x14ac:dyDescent="0.2">
      <c r="A39" s="1"/>
      <c r="B39" s="1" t="s">
        <v>527</v>
      </c>
      <c r="C39" s="70"/>
      <c r="D39" s="70"/>
      <c r="E39" s="70"/>
      <c r="F39" s="2"/>
    </row>
    <row r="40" spans="1:7" ht="18" customHeight="1" x14ac:dyDescent="0.25">
      <c r="A40" s="1"/>
      <c r="B40" s="71" t="s">
        <v>321</v>
      </c>
      <c r="C40" s="70"/>
      <c r="D40" s="70"/>
      <c r="E40" s="70"/>
      <c r="F40" s="119">
        <f>SUM(F28:F39)+0</f>
        <v>1151206.2499999998</v>
      </c>
    </row>
    <row r="41" spans="1:7" ht="15.95" customHeight="1" x14ac:dyDescent="0.2">
      <c r="A41" s="1"/>
      <c r="B41" s="70"/>
      <c r="C41" s="70"/>
      <c r="D41" s="70"/>
      <c r="E41" s="70"/>
      <c r="F41" s="95"/>
    </row>
    <row r="42" spans="1:7" ht="23.25" customHeight="1" x14ac:dyDescent="0.4">
      <c r="A42" s="1"/>
      <c r="B42" s="71" t="s">
        <v>204</v>
      </c>
      <c r="C42" s="71"/>
      <c r="D42" s="71"/>
      <c r="E42" s="71"/>
      <c r="F42" s="284">
        <f>+F14-F40</f>
        <v>743398.2100000002</v>
      </c>
      <c r="G42" s="10"/>
    </row>
    <row r="43" spans="1:7" ht="15.95" customHeight="1" x14ac:dyDescent="0.2">
      <c r="A43" s="1"/>
      <c r="B43" s="70"/>
      <c r="C43" s="70"/>
      <c r="D43" s="70"/>
      <c r="E43" s="70"/>
      <c r="F43" s="95"/>
    </row>
    <row r="44" spans="1:7" ht="24.75" customHeight="1" x14ac:dyDescent="0.2">
      <c r="A44" s="1"/>
      <c r="B44" s="70"/>
      <c r="C44" s="70"/>
      <c r="D44" s="70"/>
      <c r="E44" s="70"/>
      <c r="F44" s="95"/>
    </row>
  </sheetData>
  <mergeCells count="7">
    <mergeCell ref="B10:F10"/>
    <mergeCell ref="B3:F3"/>
    <mergeCell ref="B4:F4"/>
    <mergeCell ref="B5:F5"/>
    <mergeCell ref="B6:F6"/>
    <mergeCell ref="B8:F8"/>
    <mergeCell ref="B9:F9"/>
  </mergeCells>
  <pageMargins left="0.7" right="0.7" top="0.75" bottom="0.75" header="0.3" footer="0.3"/>
  <pageSetup scale="92" orientation="portrait" horizontalDpi="4294967293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103"/>
  <sheetViews>
    <sheetView zoomScale="98" zoomScaleNormal="98" workbookViewId="0">
      <selection activeCell="C15" sqref="C15"/>
    </sheetView>
  </sheetViews>
  <sheetFormatPr baseColWidth="10" defaultColWidth="9.140625" defaultRowHeight="24.75" customHeight="1" x14ac:dyDescent="0.2"/>
  <cols>
    <col min="1" max="1" width="2.7109375" style="1" customWidth="1"/>
    <col min="2" max="2" width="29.42578125" style="1" customWidth="1"/>
    <col min="3" max="3" width="23.28515625" style="1" customWidth="1"/>
    <col min="4" max="5" width="18.5703125" style="1" bestFit="1" customWidth="1"/>
    <col min="6" max="6" width="17.85546875" style="1" bestFit="1" customWidth="1"/>
    <col min="7" max="7" width="17.7109375" style="1" customWidth="1"/>
    <col min="8" max="8" width="3.28515625" style="1" customWidth="1"/>
    <col min="9" max="10" width="18.7109375" style="1" bestFit="1" customWidth="1"/>
    <col min="11" max="11" width="19.28515625" style="1" customWidth="1"/>
    <col min="12" max="13" width="9.140625" style="1"/>
    <col min="14" max="14" width="13.140625" style="1" bestFit="1" customWidth="1"/>
    <col min="15" max="15" width="12.28515625" style="1" bestFit="1" customWidth="1"/>
    <col min="16" max="16" width="11.140625" style="1" bestFit="1" customWidth="1"/>
    <col min="17" max="18" width="15.140625" style="1" bestFit="1" customWidth="1"/>
    <col min="19" max="16384" width="9.140625" style="1"/>
  </cols>
  <sheetData>
    <row r="2" spans="2:11" ht="24.75" hidden="1" customHeight="1" x14ac:dyDescent="0.2"/>
    <row r="3" spans="2:11" ht="24.75" hidden="1" customHeight="1" x14ac:dyDescent="0.25">
      <c r="B3" s="398" t="s">
        <v>337</v>
      </c>
      <c r="C3" s="398"/>
      <c r="D3" s="398"/>
      <c r="E3" s="398"/>
      <c r="F3" s="398"/>
      <c r="G3" s="398"/>
      <c r="H3" s="398"/>
      <c r="I3" s="398"/>
      <c r="J3" s="398"/>
      <c r="K3" s="398"/>
    </row>
    <row r="4" spans="2:11" ht="24.75" hidden="1" customHeight="1" x14ac:dyDescent="0.25">
      <c r="B4" s="398" t="s">
        <v>227</v>
      </c>
      <c r="C4" s="398"/>
      <c r="D4" s="398"/>
      <c r="E4" s="398"/>
      <c r="F4" s="398"/>
      <c r="G4" s="398"/>
      <c r="H4" s="398"/>
      <c r="I4" s="398"/>
      <c r="J4" s="398"/>
      <c r="K4" s="398"/>
    </row>
    <row r="5" spans="2:11" ht="24.75" hidden="1" customHeight="1" x14ac:dyDescent="0.25">
      <c r="B5" s="398" t="s">
        <v>338</v>
      </c>
      <c r="C5" s="398"/>
      <c r="D5" s="398"/>
      <c r="E5" s="398"/>
      <c r="F5" s="398"/>
      <c r="G5" s="398"/>
      <c r="H5" s="398"/>
      <c r="I5" s="398"/>
      <c r="J5" s="398"/>
      <c r="K5" s="398"/>
    </row>
    <row r="6" spans="2:11" ht="24.75" hidden="1" customHeight="1" x14ac:dyDescent="0.25">
      <c r="B6" s="398" t="s">
        <v>469</v>
      </c>
      <c r="C6" s="398"/>
      <c r="D6" s="398"/>
      <c r="E6" s="398"/>
      <c r="F6" s="398"/>
      <c r="G6" s="398"/>
      <c r="H6" s="398"/>
      <c r="I6" s="398"/>
      <c r="J6" s="398"/>
      <c r="K6" s="398"/>
    </row>
    <row r="7" spans="2:11" ht="24.75" hidden="1" customHeight="1" x14ac:dyDescent="0.25">
      <c r="B7" s="409">
        <v>44985</v>
      </c>
      <c r="C7" s="409"/>
      <c r="D7" s="409"/>
      <c r="E7" s="409"/>
      <c r="F7" s="409"/>
      <c r="G7" s="409"/>
      <c r="H7" s="409"/>
      <c r="I7" s="409"/>
      <c r="J7" s="409"/>
      <c r="K7" s="409"/>
    </row>
    <row r="8" spans="2:11" ht="24.75" hidden="1" customHeight="1" thickBot="1" x14ac:dyDescent="0.3">
      <c r="B8" s="138"/>
      <c r="C8" s="138"/>
      <c r="D8" s="204"/>
      <c r="E8" s="138"/>
      <c r="F8" s="138"/>
      <c r="G8" s="138"/>
      <c r="H8" s="138"/>
      <c r="I8" s="203"/>
      <c r="J8" s="6"/>
    </row>
    <row r="9" spans="2:11" ht="32.25" hidden="1" customHeight="1" thickBot="1" x14ac:dyDescent="0.25">
      <c r="B9" s="195" t="s">
        <v>437</v>
      </c>
      <c r="C9" s="140" t="s">
        <v>468</v>
      </c>
      <c r="D9" s="140" t="s">
        <v>427</v>
      </c>
      <c r="E9" s="140" t="s">
        <v>426</v>
      </c>
      <c r="F9" s="140" t="s">
        <v>475</v>
      </c>
      <c r="G9" s="140" t="s">
        <v>470</v>
      </c>
      <c r="H9" s="140"/>
      <c r="I9" s="140" t="s">
        <v>436</v>
      </c>
      <c r="J9" s="140" t="s">
        <v>472</v>
      </c>
      <c r="K9" s="141" t="s">
        <v>471</v>
      </c>
    </row>
    <row r="10" spans="2:11" ht="30.95" hidden="1" customHeight="1" x14ac:dyDescent="0.2">
      <c r="B10" s="43" t="s">
        <v>428</v>
      </c>
      <c r="C10" s="29">
        <f>66547628.35-C11-C12-D10-F10+30222.22</f>
        <v>45365380.650000006</v>
      </c>
      <c r="D10" s="29">
        <v>19538995.010000002</v>
      </c>
      <c r="E10" s="29">
        <v>11791797.619999999</v>
      </c>
      <c r="F10" s="29">
        <v>1003826</v>
      </c>
      <c r="G10" s="143">
        <f>SUM(C10:F10)</f>
        <v>77699999.280000016</v>
      </c>
      <c r="H10" s="29"/>
      <c r="I10" s="143">
        <v>11101060.779999999</v>
      </c>
      <c r="J10" s="143">
        <f>+I10</f>
        <v>11101060.779999999</v>
      </c>
      <c r="K10" s="39">
        <f>+G10+J10</f>
        <v>88801060.060000017</v>
      </c>
    </row>
    <row r="11" spans="2:11" ht="30.95" hidden="1" customHeight="1" x14ac:dyDescent="0.2">
      <c r="B11" s="44" t="s">
        <v>429</v>
      </c>
      <c r="C11" s="198">
        <v>342200</v>
      </c>
      <c r="D11" s="198">
        <v>0</v>
      </c>
      <c r="E11" s="198">
        <v>18880</v>
      </c>
      <c r="F11" s="198">
        <v>0</v>
      </c>
      <c r="G11" s="143">
        <f>SUM(C11:F11)</f>
        <v>361080</v>
      </c>
      <c r="H11" s="13"/>
      <c r="I11" s="198">
        <v>0</v>
      </c>
      <c r="J11" s="198">
        <f>+I11</f>
        <v>0</v>
      </c>
      <c r="K11" s="40">
        <f>+G11+J11</f>
        <v>361080</v>
      </c>
    </row>
    <row r="12" spans="2:11" ht="30.95" hidden="1" customHeight="1" x14ac:dyDescent="0.2">
      <c r="B12" s="44" t="s">
        <v>430</v>
      </c>
      <c r="C12" s="198">
        <f>376551.13-18880-30222.22</f>
        <v>327448.91000000003</v>
      </c>
      <c r="D12" s="198">
        <v>0</v>
      </c>
      <c r="E12" s="198">
        <v>0</v>
      </c>
      <c r="F12" s="198">
        <v>0</v>
      </c>
      <c r="G12" s="143">
        <f>SUM(C12:F12)</f>
        <v>327448.91000000003</v>
      </c>
      <c r="H12" s="13"/>
      <c r="I12" s="198">
        <v>0</v>
      </c>
      <c r="J12" s="198">
        <f>+I12</f>
        <v>0</v>
      </c>
      <c r="K12" s="40">
        <f>+G12+J12</f>
        <v>327448.91000000003</v>
      </c>
    </row>
    <row r="13" spans="2:11" ht="30.95" hidden="1" customHeight="1" x14ac:dyDescent="0.35">
      <c r="B13" s="44" t="s">
        <v>431</v>
      </c>
      <c r="C13" s="199">
        <v>0</v>
      </c>
      <c r="D13" s="199">
        <v>0</v>
      </c>
      <c r="E13" s="199">
        <v>0</v>
      </c>
      <c r="F13" s="199">
        <v>0</v>
      </c>
      <c r="G13" s="205">
        <f>SUM(C13:F13)</f>
        <v>0</v>
      </c>
      <c r="H13" s="57"/>
      <c r="I13" s="199">
        <v>0</v>
      </c>
      <c r="J13" s="199">
        <f>+I13</f>
        <v>0</v>
      </c>
      <c r="K13" s="41">
        <f>+G13+J13</f>
        <v>0</v>
      </c>
    </row>
    <row r="14" spans="2:11" ht="30.95" hidden="1" customHeight="1" x14ac:dyDescent="0.25">
      <c r="B14" s="45" t="s">
        <v>439</v>
      </c>
      <c r="C14" s="26">
        <f>SUM(C10:C13)</f>
        <v>46035029.560000002</v>
      </c>
      <c r="D14" s="26">
        <f>SUM(D10:D13)</f>
        <v>19538995.010000002</v>
      </c>
      <c r="E14" s="197">
        <f>SUM(E10:E13)</f>
        <v>11810677.619999999</v>
      </c>
      <c r="F14" s="197">
        <f>SUM(F10:F13)</f>
        <v>1003826</v>
      </c>
      <c r="G14" s="26">
        <f>SUM(G10:G13)</f>
        <v>78388528.190000013</v>
      </c>
      <c r="H14" s="26"/>
      <c r="I14" s="197">
        <f>SUM(I10:I13)</f>
        <v>11101060.779999999</v>
      </c>
      <c r="J14" s="197">
        <f>SUM(J10:J13)</f>
        <v>11101060.779999999</v>
      </c>
      <c r="K14" s="139">
        <f>SUM(K10:K13)</f>
        <v>89489588.970000014</v>
      </c>
    </row>
    <row r="15" spans="2:11" ht="30.95" hidden="1" customHeight="1" x14ac:dyDescent="0.25">
      <c r="B15" s="44"/>
      <c r="C15" s="13"/>
      <c r="D15" s="13"/>
      <c r="E15" s="13"/>
      <c r="F15" s="13"/>
      <c r="G15" s="13"/>
      <c r="H15" s="13"/>
      <c r="I15" s="198"/>
      <c r="J15" s="197"/>
      <c r="K15" s="139"/>
    </row>
    <row r="16" spans="2:11" ht="30.95" hidden="1" customHeight="1" x14ac:dyDescent="0.25">
      <c r="B16" s="196" t="s">
        <v>432</v>
      </c>
      <c r="C16" s="26"/>
      <c r="D16" s="26"/>
      <c r="E16" s="26"/>
      <c r="F16" s="26"/>
      <c r="G16" s="26"/>
      <c r="H16" s="26"/>
      <c r="I16" s="197"/>
      <c r="J16" s="197"/>
      <c r="K16" s="139"/>
    </row>
    <row r="17" spans="2:11" ht="30.95" hidden="1" customHeight="1" x14ac:dyDescent="0.2">
      <c r="B17" s="44" t="s">
        <v>428</v>
      </c>
      <c r="C17" s="13">
        <f>71893589.76-19538995.01-11136766.71-11101060.78-66921.8</f>
        <v>30049845.459999997</v>
      </c>
      <c r="D17" s="13">
        <v>19538995.010000002</v>
      </c>
      <c r="E17" s="13">
        <v>11136766.710000001</v>
      </c>
      <c r="F17" s="13">
        <f>83652.25-16730.45</f>
        <v>66921.8</v>
      </c>
      <c r="G17" s="143">
        <f>SUM(C17:F17)</f>
        <v>60792528.979999997</v>
      </c>
      <c r="H17" s="13"/>
      <c r="I17" s="198">
        <v>11101060.779999999</v>
      </c>
      <c r="J17" s="198">
        <f>+I17</f>
        <v>11101060.779999999</v>
      </c>
      <c r="K17" s="40">
        <f>+G17+J17</f>
        <v>71893589.75999999</v>
      </c>
    </row>
    <row r="18" spans="2:11" ht="30.95" hidden="1" customHeight="1" x14ac:dyDescent="0.2">
      <c r="B18" s="44" t="s">
        <v>433</v>
      </c>
      <c r="C18" s="13">
        <f>668619.67-128202.67-16730.45</f>
        <v>523686.55</v>
      </c>
      <c r="D18" s="13">
        <v>0</v>
      </c>
      <c r="E18" s="13">
        <v>128202.67</v>
      </c>
      <c r="F18" s="13">
        <v>16730.45</v>
      </c>
      <c r="G18" s="143">
        <f>SUM(C18:F18)</f>
        <v>668619.66999999993</v>
      </c>
      <c r="H18" s="13"/>
      <c r="I18" s="198">
        <v>0</v>
      </c>
      <c r="J18" s="198">
        <f>+I18</f>
        <v>0</v>
      </c>
      <c r="K18" s="40">
        <f>+G18+J18</f>
        <v>668619.66999999993</v>
      </c>
    </row>
    <row r="19" spans="2:11" ht="30.95" hidden="1" customHeight="1" x14ac:dyDescent="0.2">
      <c r="B19" s="44" t="s">
        <v>431</v>
      </c>
      <c r="C19" s="13">
        <v>0</v>
      </c>
      <c r="D19" s="13">
        <v>0</v>
      </c>
      <c r="E19" s="13">
        <v>0</v>
      </c>
      <c r="F19" s="13"/>
      <c r="G19" s="143">
        <f>SUM(C19:F19)</f>
        <v>0</v>
      </c>
      <c r="H19" s="13"/>
      <c r="I19" s="198">
        <v>0</v>
      </c>
      <c r="J19" s="198">
        <f>+I19</f>
        <v>0</v>
      </c>
      <c r="K19" s="40">
        <f>+G19+J19</f>
        <v>0</v>
      </c>
    </row>
    <row r="20" spans="2:11" ht="30.95" hidden="1" customHeight="1" x14ac:dyDescent="0.35">
      <c r="B20" s="44" t="s">
        <v>434</v>
      </c>
      <c r="C20" s="57">
        <v>0</v>
      </c>
      <c r="D20" s="57">
        <v>0</v>
      </c>
      <c r="E20" s="57">
        <v>0</v>
      </c>
      <c r="F20" s="57">
        <v>0</v>
      </c>
      <c r="G20" s="205">
        <f>SUM(C20:F20)</f>
        <v>0</v>
      </c>
      <c r="H20" s="57"/>
      <c r="I20" s="199">
        <v>0</v>
      </c>
      <c r="J20" s="199">
        <f>+I20</f>
        <v>0</v>
      </c>
      <c r="K20" s="41">
        <f>+G20+J20</f>
        <v>0</v>
      </c>
    </row>
    <row r="21" spans="2:11" ht="30.95" hidden="1" customHeight="1" x14ac:dyDescent="0.55000000000000004">
      <c r="B21" s="45" t="s">
        <v>438</v>
      </c>
      <c r="C21" s="142">
        <f>SUM(C17:C20)</f>
        <v>30573532.009999998</v>
      </c>
      <c r="D21" s="142">
        <f>SUM(D17:D20)</f>
        <v>19538995.010000002</v>
      </c>
      <c r="E21" s="142">
        <f>SUM(E17:E20)</f>
        <v>11264969.380000001</v>
      </c>
      <c r="F21" s="142">
        <f>SUM(F17:F20)</f>
        <v>83652.25</v>
      </c>
      <c r="G21" s="142">
        <f>SUM(G17:G20)</f>
        <v>61461148.649999999</v>
      </c>
      <c r="H21" s="142"/>
      <c r="I21" s="200">
        <f>SUM(I17:I20)</f>
        <v>11101060.779999999</v>
      </c>
      <c r="J21" s="200">
        <f>SUM(J17:J20)</f>
        <v>11101060.779999999</v>
      </c>
      <c r="K21" s="144">
        <f>SUM(K17:K20)</f>
        <v>72562209.429999992</v>
      </c>
    </row>
    <row r="22" spans="2:11" ht="30.95" hidden="1" customHeight="1" x14ac:dyDescent="0.55000000000000004">
      <c r="B22" s="45"/>
      <c r="C22" s="142"/>
      <c r="D22" s="142"/>
      <c r="E22" s="142"/>
      <c r="F22" s="142"/>
      <c r="G22" s="142"/>
      <c r="H22" s="142"/>
      <c r="I22" s="198"/>
      <c r="J22" s="198"/>
      <c r="K22" s="40"/>
    </row>
    <row r="23" spans="2:11" ht="30.95" hidden="1" customHeight="1" x14ac:dyDescent="0.4">
      <c r="B23" s="45" t="s">
        <v>435</v>
      </c>
      <c r="C23" s="27">
        <f>+C14-C21</f>
        <v>15461497.550000004</v>
      </c>
      <c r="D23" s="27">
        <f>+D14-D21</f>
        <v>0</v>
      </c>
      <c r="E23" s="27">
        <f>+E14-E21</f>
        <v>545708.23999999836</v>
      </c>
      <c r="F23" s="27">
        <f>+F14-F21</f>
        <v>920173.75</v>
      </c>
      <c r="G23" s="27">
        <f>+G14-G21</f>
        <v>16927379.540000014</v>
      </c>
      <c r="H23" s="27"/>
      <c r="I23" s="201">
        <f>+I14-I21</f>
        <v>0</v>
      </c>
      <c r="J23" s="201">
        <f>+J14-J21</f>
        <v>0</v>
      </c>
      <c r="K23" s="42">
        <f>+K14-K21</f>
        <v>16927379.540000021</v>
      </c>
    </row>
    <row r="24" spans="2:11" ht="24.75" hidden="1" customHeight="1" thickBot="1" x14ac:dyDescent="0.25">
      <c r="B24" s="53"/>
      <c r="C24" s="145"/>
      <c r="D24" s="145"/>
      <c r="E24" s="145"/>
      <c r="F24" s="145"/>
      <c r="G24" s="145"/>
      <c r="H24" s="145"/>
      <c r="I24" s="202"/>
      <c r="J24" s="202"/>
      <c r="K24" s="137"/>
    </row>
    <row r="25" spans="2:11" ht="24.75" customHeight="1" x14ac:dyDescent="0.2">
      <c r="C25" s="2"/>
      <c r="D25" s="2"/>
      <c r="E25" s="2"/>
      <c r="F25" s="2"/>
      <c r="G25" s="2"/>
      <c r="H25" s="2"/>
      <c r="I25" s="2"/>
      <c r="J25" s="2"/>
      <c r="K25" s="2"/>
    </row>
    <row r="26" spans="2:11" ht="24.75" hidden="1" customHeight="1" x14ac:dyDescent="0.2">
      <c r="F26" s="6"/>
    </row>
    <row r="27" spans="2:11" ht="24.75" hidden="1" customHeight="1" x14ac:dyDescent="0.2"/>
    <row r="28" spans="2:11" ht="24.75" hidden="1" customHeight="1" x14ac:dyDescent="0.25">
      <c r="B28" s="398" t="s">
        <v>337</v>
      </c>
      <c r="C28" s="398"/>
      <c r="D28" s="398"/>
      <c r="E28" s="398"/>
      <c r="F28" s="398"/>
      <c r="G28" s="398"/>
      <c r="H28" s="398"/>
      <c r="I28" s="398"/>
      <c r="J28" s="398"/>
      <c r="K28" s="398"/>
    </row>
    <row r="29" spans="2:11" ht="24.75" hidden="1" customHeight="1" x14ac:dyDescent="0.25">
      <c r="B29" s="398" t="s">
        <v>227</v>
      </c>
      <c r="C29" s="398"/>
      <c r="D29" s="398"/>
      <c r="E29" s="398"/>
      <c r="F29" s="398"/>
      <c r="G29" s="398"/>
      <c r="H29" s="398"/>
      <c r="I29" s="398"/>
      <c r="J29" s="398"/>
      <c r="K29" s="398"/>
    </row>
    <row r="30" spans="2:11" ht="24.75" hidden="1" customHeight="1" x14ac:dyDescent="0.25">
      <c r="B30" s="398" t="s">
        <v>338</v>
      </c>
      <c r="C30" s="398"/>
      <c r="D30" s="398"/>
      <c r="E30" s="398"/>
      <c r="F30" s="398"/>
      <c r="G30" s="398"/>
      <c r="H30" s="398"/>
      <c r="I30" s="398"/>
      <c r="J30" s="398"/>
      <c r="K30" s="398"/>
    </row>
    <row r="31" spans="2:11" ht="24.75" hidden="1" customHeight="1" x14ac:dyDescent="0.25">
      <c r="B31" s="398" t="s">
        <v>469</v>
      </c>
      <c r="C31" s="398"/>
      <c r="D31" s="398"/>
      <c r="E31" s="398"/>
      <c r="F31" s="398"/>
      <c r="G31" s="398"/>
      <c r="H31" s="398"/>
      <c r="I31" s="398"/>
      <c r="J31" s="398"/>
      <c r="K31" s="398"/>
    </row>
    <row r="32" spans="2:11" ht="24.75" hidden="1" customHeight="1" x14ac:dyDescent="0.25">
      <c r="B32" s="409">
        <v>44985</v>
      </c>
      <c r="C32" s="409"/>
      <c r="D32" s="409"/>
      <c r="E32" s="409"/>
      <c r="F32" s="409"/>
      <c r="G32" s="409"/>
      <c r="H32" s="409"/>
      <c r="I32" s="409"/>
      <c r="J32" s="409"/>
      <c r="K32" s="409"/>
    </row>
    <row r="33" spans="2:11" ht="24.75" hidden="1" customHeight="1" thickBot="1" x14ac:dyDescent="0.3">
      <c r="B33" s="138"/>
      <c r="C33" s="138"/>
      <c r="D33" s="204"/>
      <c r="E33" s="138"/>
      <c r="F33" s="138"/>
      <c r="G33" s="138"/>
      <c r="H33" s="138"/>
      <c r="I33" s="203"/>
      <c r="J33" s="6"/>
    </row>
    <row r="34" spans="2:11" ht="38.25" hidden="1" customHeight="1" thickBot="1" x14ac:dyDescent="0.25">
      <c r="B34" s="195" t="s">
        <v>437</v>
      </c>
      <c r="C34" s="140" t="s">
        <v>468</v>
      </c>
      <c r="D34" s="140" t="s">
        <v>427</v>
      </c>
      <c r="E34" s="140" t="s">
        <v>426</v>
      </c>
      <c r="F34" s="140" t="s">
        <v>475</v>
      </c>
      <c r="G34" s="140" t="s">
        <v>470</v>
      </c>
      <c r="H34" s="140"/>
      <c r="I34" s="140" t="s">
        <v>436</v>
      </c>
      <c r="J34" s="140" t="s">
        <v>472</v>
      </c>
      <c r="K34" s="141" t="s">
        <v>471</v>
      </c>
    </row>
    <row r="35" spans="2:11" ht="24.75" hidden="1" customHeight="1" x14ac:dyDescent="0.2">
      <c r="B35" s="43" t="s">
        <v>428</v>
      </c>
      <c r="C35" s="29">
        <f>45365380.65+342200+327448.91</f>
        <v>46035029.559999995</v>
      </c>
      <c r="D35" s="29">
        <v>19538995.010000002</v>
      </c>
      <c r="E35" s="29">
        <f>11791797.62+18880</f>
        <v>11810677.619999999</v>
      </c>
      <c r="F35" s="29">
        <v>1003826</v>
      </c>
      <c r="G35" s="143">
        <f>SUM(C35:F35)</f>
        <v>78388528.189999998</v>
      </c>
      <c r="H35" s="29"/>
      <c r="I35" s="143">
        <v>11101060.779999999</v>
      </c>
      <c r="J35" s="143">
        <f>+I35</f>
        <v>11101060.779999999</v>
      </c>
      <c r="K35" s="39">
        <f>+G35+J35</f>
        <v>89489588.969999999</v>
      </c>
    </row>
    <row r="36" spans="2:11" ht="24.75" hidden="1" customHeight="1" x14ac:dyDescent="0.2">
      <c r="B36" s="44" t="s">
        <v>429</v>
      </c>
      <c r="C36" s="198">
        <f>5204286.96</f>
        <v>5204286.96</v>
      </c>
      <c r="D36" s="198">
        <v>0</v>
      </c>
      <c r="E36" s="198">
        <v>0</v>
      </c>
      <c r="F36" s="198">
        <v>0</v>
      </c>
      <c r="G36" s="143">
        <f>SUM(C36:F36)</f>
        <v>5204286.96</v>
      </c>
      <c r="H36" s="13"/>
      <c r="I36" s="198">
        <v>0</v>
      </c>
      <c r="J36" s="198">
        <f>+I36</f>
        <v>0</v>
      </c>
      <c r="K36" s="40">
        <f>+G36+J36</f>
        <v>5204286.96</v>
      </c>
    </row>
    <row r="37" spans="2:11" ht="24.75" hidden="1" customHeight="1" x14ac:dyDescent="0.2">
      <c r="B37" s="44" t="s">
        <v>430</v>
      </c>
      <c r="C37" s="198"/>
      <c r="D37" s="198">
        <v>0</v>
      </c>
      <c r="E37" s="198">
        <v>0</v>
      </c>
      <c r="F37" s="198">
        <v>0</v>
      </c>
      <c r="G37" s="143">
        <f>SUM(C37:F37)</f>
        <v>0</v>
      </c>
      <c r="H37" s="13"/>
      <c r="I37" s="198">
        <v>0</v>
      </c>
      <c r="J37" s="198">
        <f>+I37</f>
        <v>0</v>
      </c>
      <c r="K37" s="40">
        <f>+G37+J37</f>
        <v>0</v>
      </c>
    </row>
    <row r="38" spans="2:11" ht="24.75" hidden="1" customHeight="1" x14ac:dyDescent="0.35">
      <c r="B38" s="44" t="s">
        <v>431</v>
      </c>
      <c r="C38" s="199">
        <v>0</v>
      </c>
      <c r="D38" s="199">
        <v>0</v>
      </c>
      <c r="E38" s="199">
        <v>0</v>
      </c>
      <c r="F38" s="199">
        <v>0</v>
      </c>
      <c r="G38" s="205">
        <f>SUM(C38:F38)</f>
        <v>0</v>
      </c>
      <c r="H38" s="57"/>
      <c r="I38" s="199">
        <v>0</v>
      </c>
      <c r="J38" s="199">
        <f>+I38</f>
        <v>0</v>
      </c>
      <c r="K38" s="41">
        <f>+G38+J38</f>
        <v>0</v>
      </c>
    </row>
    <row r="39" spans="2:11" ht="24.75" hidden="1" customHeight="1" x14ac:dyDescent="0.25">
      <c r="B39" s="45" t="s">
        <v>439</v>
      </c>
      <c r="C39" s="26">
        <f>SUM(C35:C38)</f>
        <v>51239316.519999996</v>
      </c>
      <c r="D39" s="26">
        <f>SUM(D35:D38)</f>
        <v>19538995.010000002</v>
      </c>
      <c r="E39" s="197">
        <f>SUM(E35:E38)</f>
        <v>11810677.619999999</v>
      </c>
      <c r="F39" s="197">
        <f>SUM(F35:F38)</f>
        <v>1003826</v>
      </c>
      <c r="G39" s="26">
        <f>SUM(G35:G38)</f>
        <v>83592815.149999991</v>
      </c>
      <c r="H39" s="26"/>
      <c r="I39" s="197">
        <f>SUM(I35:I38)</f>
        <v>11101060.779999999</v>
      </c>
      <c r="J39" s="197">
        <f>SUM(J35:J38)</f>
        <v>11101060.779999999</v>
      </c>
      <c r="K39" s="139">
        <f>SUM(K35:K38)</f>
        <v>94693875.929999992</v>
      </c>
    </row>
    <row r="40" spans="2:11" ht="24.75" hidden="1" customHeight="1" x14ac:dyDescent="0.25">
      <c r="B40" s="44"/>
      <c r="C40" s="13"/>
      <c r="D40" s="13"/>
      <c r="E40" s="13"/>
      <c r="F40" s="13"/>
      <c r="G40" s="13"/>
      <c r="H40" s="13"/>
      <c r="I40" s="198"/>
      <c r="J40" s="197"/>
      <c r="K40" s="139"/>
    </row>
    <row r="41" spans="2:11" ht="24.75" hidden="1" customHeight="1" x14ac:dyDescent="0.25">
      <c r="B41" s="196" t="s">
        <v>432</v>
      </c>
      <c r="C41" s="26"/>
      <c r="D41" s="26"/>
      <c r="E41" s="26"/>
      <c r="F41" s="26"/>
      <c r="G41" s="26"/>
      <c r="H41" s="26"/>
      <c r="I41" s="197"/>
      <c r="J41" s="197"/>
      <c r="K41" s="139"/>
    </row>
    <row r="42" spans="2:11" ht="24.75" hidden="1" customHeight="1" x14ac:dyDescent="0.2">
      <c r="B42" s="44" t="s">
        <v>428</v>
      </c>
      <c r="C42" s="13">
        <f>71893589.76-19538995.01-11136766.71-11101060.78-66921.8+523686.55</f>
        <v>30573532.009999998</v>
      </c>
      <c r="D42" s="13">
        <v>19538995.010000002</v>
      </c>
      <c r="E42" s="13">
        <f>11136766.71+128202.67</f>
        <v>11264969.380000001</v>
      </c>
      <c r="F42" s="13">
        <f>83652.25-16730.45+16730.45</f>
        <v>83652.25</v>
      </c>
      <c r="G42" s="143">
        <f>SUM(C42:F42)</f>
        <v>61461148.649999999</v>
      </c>
      <c r="H42" s="13"/>
      <c r="I42" s="198">
        <v>11101060.779999999</v>
      </c>
      <c r="J42" s="198">
        <f>+I42</f>
        <v>11101060.779999999</v>
      </c>
      <c r="K42" s="40">
        <f>+G42+J42</f>
        <v>72562209.429999992</v>
      </c>
    </row>
    <row r="43" spans="2:11" ht="24.75" hidden="1" customHeight="1" x14ac:dyDescent="0.2">
      <c r="B43" s="44" t="s">
        <v>433</v>
      </c>
      <c r="C43" s="13">
        <f>2485056.29</f>
        <v>2485056.29</v>
      </c>
      <c r="D43" s="13">
        <v>0</v>
      </c>
      <c r="E43" s="13">
        <v>0</v>
      </c>
      <c r="F43" s="13">
        <v>0</v>
      </c>
      <c r="G43" s="143">
        <f>SUM(C43:F43)</f>
        <v>2485056.29</v>
      </c>
      <c r="H43" s="13"/>
      <c r="I43" s="198">
        <v>0</v>
      </c>
      <c r="J43" s="198">
        <f>+I43</f>
        <v>0</v>
      </c>
      <c r="K43" s="40">
        <f>+G43+J43</f>
        <v>2485056.29</v>
      </c>
    </row>
    <row r="44" spans="2:11" ht="24.75" hidden="1" customHeight="1" x14ac:dyDescent="0.2">
      <c r="B44" s="44" t="s">
        <v>431</v>
      </c>
      <c r="C44" s="13">
        <v>1431823.51</v>
      </c>
      <c r="D44" s="13">
        <v>0</v>
      </c>
      <c r="E44" s="13">
        <v>0</v>
      </c>
      <c r="F44" s="13"/>
      <c r="G44" s="143">
        <f>SUM(C44:F44)</f>
        <v>1431823.51</v>
      </c>
      <c r="H44" s="13"/>
      <c r="I44" s="198">
        <v>0</v>
      </c>
      <c r="J44" s="198">
        <f>+I44</f>
        <v>0</v>
      </c>
      <c r="K44" s="40">
        <f>+G44+J44</f>
        <v>1431823.51</v>
      </c>
    </row>
    <row r="45" spans="2:11" ht="24.75" hidden="1" customHeight="1" x14ac:dyDescent="0.35">
      <c r="B45" s="44" t="s">
        <v>434</v>
      </c>
      <c r="C45" s="57">
        <v>0</v>
      </c>
      <c r="D45" s="57">
        <v>0</v>
      </c>
      <c r="E45" s="57">
        <v>0</v>
      </c>
      <c r="F45" s="57">
        <v>0</v>
      </c>
      <c r="G45" s="205">
        <f>SUM(C45:F45)</f>
        <v>0</v>
      </c>
      <c r="H45" s="57"/>
      <c r="I45" s="199">
        <v>0</v>
      </c>
      <c r="J45" s="199">
        <f>+I45</f>
        <v>0</v>
      </c>
      <c r="K45" s="41">
        <f>+G45+J45</f>
        <v>0</v>
      </c>
    </row>
    <row r="46" spans="2:11" ht="24.75" hidden="1" customHeight="1" x14ac:dyDescent="0.55000000000000004">
      <c r="B46" s="45" t="s">
        <v>438</v>
      </c>
      <c r="C46" s="142">
        <f>+C42+C43-C44</f>
        <v>31626764.789999995</v>
      </c>
      <c r="D46" s="142">
        <f>SUM(D42:D45)</f>
        <v>19538995.010000002</v>
      </c>
      <c r="E46" s="142">
        <f>SUM(E42:E45)</f>
        <v>11264969.380000001</v>
      </c>
      <c r="F46" s="142">
        <f>SUM(F42:F45)</f>
        <v>83652.25</v>
      </c>
      <c r="G46" s="142">
        <f>+G42+G43-G44</f>
        <v>62514381.43</v>
      </c>
      <c r="H46" s="142"/>
      <c r="I46" s="200">
        <f>SUM(I42:I45)</f>
        <v>11101060.779999999</v>
      </c>
      <c r="J46" s="200">
        <f>SUM(J42:J45)</f>
        <v>11101060.779999999</v>
      </c>
      <c r="K46" s="144">
        <f>+G46+J46</f>
        <v>73615442.209999993</v>
      </c>
    </row>
    <row r="47" spans="2:11" ht="24.75" hidden="1" customHeight="1" x14ac:dyDescent="0.55000000000000004">
      <c r="B47" s="45"/>
      <c r="C47" s="142"/>
      <c r="D47" s="142"/>
      <c r="E47" s="142"/>
      <c r="F47" s="142"/>
      <c r="G47" s="142"/>
      <c r="H47" s="142"/>
      <c r="I47" s="198"/>
      <c r="J47" s="198"/>
      <c r="K47" s="40"/>
    </row>
    <row r="48" spans="2:11" ht="24.75" hidden="1" customHeight="1" x14ac:dyDescent="0.4">
      <c r="B48" s="45" t="s">
        <v>435</v>
      </c>
      <c r="C48" s="27">
        <f>+C39-C46</f>
        <v>19612551.73</v>
      </c>
      <c r="D48" s="27">
        <f>+D39-D46</f>
        <v>0</v>
      </c>
      <c r="E48" s="27">
        <f>+E39-E46</f>
        <v>545708.23999999836</v>
      </c>
      <c r="F48" s="27">
        <f>+F39-F46</f>
        <v>920173.75</v>
      </c>
      <c r="G48" s="27">
        <f>+G39-G46</f>
        <v>21078433.719999991</v>
      </c>
      <c r="H48" s="27"/>
      <c r="I48" s="201">
        <f>+I39-I46</f>
        <v>0</v>
      </c>
      <c r="J48" s="201">
        <f>+J39-J46</f>
        <v>0</v>
      </c>
      <c r="K48" s="42">
        <f>+K39-K46</f>
        <v>21078433.719999999</v>
      </c>
    </row>
    <row r="49" spans="1:11" ht="24.75" hidden="1" customHeight="1" thickBot="1" x14ac:dyDescent="0.25">
      <c r="B49" s="53"/>
      <c r="C49" s="145"/>
      <c r="D49" s="145"/>
      <c r="E49" s="145"/>
      <c r="F49" s="145"/>
      <c r="G49" s="145"/>
      <c r="H49" s="145"/>
      <c r="I49" s="202"/>
      <c r="J49" s="202"/>
      <c r="K49" s="137"/>
    </row>
    <row r="50" spans="1:11" ht="24.75" hidden="1" customHeight="1" x14ac:dyDescent="0.2">
      <c r="C50" s="2"/>
      <c r="D50" s="2"/>
      <c r="E50" s="2"/>
      <c r="F50" s="2"/>
      <c r="G50" s="2"/>
      <c r="H50" s="2"/>
      <c r="I50" s="2"/>
      <c r="J50" s="2"/>
      <c r="K50" s="2"/>
    </row>
    <row r="51" spans="1:11" ht="24.75" customHeight="1" x14ac:dyDescent="0.2">
      <c r="C51" s="2"/>
    </row>
    <row r="52" spans="1:11" customFormat="1" ht="15.75" x14ac:dyDescent="0.25">
      <c r="A52" s="1"/>
      <c r="B52" s="398" t="s">
        <v>337</v>
      </c>
      <c r="C52" s="398"/>
      <c r="D52" s="398"/>
      <c r="E52" s="398"/>
      <c r="F52" s="398"/>
      <c r="G52" s="398"/>
      <c r="H52" s="398"/>
      <c r="I52" s="398"/>
      <c r="J52" s="398"/>
      <c r="K52" s="398"/>
    </row>
    <row r="53" spans="1:11" customFormat="1" ht="15.75" x14ac:dyDescent="0.25">
      <c r="A53" s="1"/>
      <c r="B53" s="398" t="s">
        <v>227</v>
      </c>
      <c r="C53" s="398"/>
      <c r="D53" s="398"/>
      <c r="E53" s="398"/>
      <c r="F53" s="398"/>
      <c r="G53" s="398"/>
      <c r="H53" s="398"/>
      <c r="I53" s="398"/>
      <c r="J53" s="398"/>
      <c r="K53" s="398"/>
    </row>
    <row r="54" spans="1:11" customFormat="1" ht="15.75" x14ac:dyDescent="0.25">
      <c r="A54" s="1"/>
      <c r="B54" s="398" t="s">
        <v>338</v>
      </c>
      <c r="C54" s="398"/>
      <c r="D54" s="398"/>
      <c r="E54" s="398"/>
      <c r="F54" s="398"/>
      <c r="G54" s="398"/>
      <c r="H54" s="398"/>
      <c r="I54" s="398"/>
      <c r="J54" s="398"/>
      <c r="K54" s="398"/>
    </row>
    <row r="55" spans="1:11" customFormat="1" ht="15.75" x14ac:dyDescent="0.25">
      <c r="A55" s="1"/>
      <c r="B55" s="398" t="s">
        <v>469</v>
      </c>
      <c r="C55" s="398"/>
      <c r="D55" s="398"/>
      <c r="E55" s="398"/>
      <c r="F55" s="398"/>
      <c r="G55" s="398"/>
      <c r="H55" s="398"/>
      <c r="I55" s="398"/>
      <c r="J55" s="398"/>
      <c r="K55" s="398"/>
    </row>
    <row r="56" spans="1:11" customFormat="1" ht="15.75" x14ac:dyDescent="0.25">
      <c r="A56" s="1"/>
      <c r="B56" s="409">
        <v>45169</v>
      </c>
      <c r="C56" s="409"/>
      <c r="D56" s="409"/>
      <c r="E56" s="409"/>
      <c r="F56" s="409"/>
      <c r="G56" s="409"/>
      <c r="H56" s="409"/>
      <c r="I56" s="409"/>
      <c r="J56" s="409"/>
      <c r="K56" s="409"/>
    </row>
    <row r="57" spans="1:11" customFormat="1" ht="15.75" x14ac:dyDescent="0.25">
      <c r="A57" s="1"/>
      <c r="B57" s="138"/>
      <c r="C57" s="138"/>
      <c r="D57" s="204"/>
      <c r="E57" s="138"/>
      <c r="F57" s="138"/>
      <c r="G57" s="138"/>
      <c r="H57" s="138"/>
      <c r="I57" s="210"/>
      <c r="J57" s="6"/>
      <c r="K57" s="1"/>
    </row>
    <row r="58" spans="1:11" customFormat="1" ht="30.75" hidden="1" thickBot="1" x14ac:dyDescent="0.25">
      <c r="A58" s="1"/>
      <c r="B58" s="211" t="s">
        <v>437</v>
      </c>
      <c r="C58" s="212" t="s">
        <v>468</v>
      </c>
      <c r="D58" s="212" t="s">
        <v>427</v>
      </c>
      <c r="E58" s="212" t="s">
        <v>426</v>
      </c>
      <c r="F58" s="212" t="s">
        <v>475</v>
      </c>
      <c r="G58" s="212" t="s">
        <v>470</v>
      </c>
      <c r="H58" s="212"/>
      <c r="I58" s="212" t="s">
        <v>436</v>
      </c>
      <c r="J58" s="212" t="s">
        <v>472</v>
      </c>
      <c r="K58" s="213" t="s">
        <v>471</v>
      </c>
    </row>
    <row r="59" spans="1:11" customFormat="1" ht="15" hidden="1" x14ac:dyDescent="0.2">
      <c r="A59" s="1"/>
      <c r="B59" s="43" t="s">
        <v>428</v>
      </c>
      <c r="C59" s="214">
        <v>46035029.560000002</v>
      </c>
      <c r="D59" s="214">
        <v>19538995.010000002</v>
      </c>
      <c r="E59" s="214">
        <v>11810677.619999999</v>
      </c>
      <c r="F59" s="214">
        <v>1003826</v>
      </c>
      <c r="G59" s="215">
        <v>78388528.189999998</v>
      </c>
      <c r="H59" s="214"/>
      <c r="I59" s="215">
        <v>12277453.01</v>
      </c>
      <c r="J59" s="215">
        <v>12277453.01</v>
      </c>
      <c r="K59" s="216">
        <v>90665981.200000003</v>
      </c>
    </row>
    <row r="60" spans="1:11" customFormat="1" ht="15" hidden="1" x14ac:dyDescent="0.2">
      <c r="A60" s="1"/>
      <c r="B60" s="44" t="s">
        <v>429</v>
      </c>
      <c r="C60" s="217">
        <v>4858846.95</v>
      </c>
      <c r="D60" s="217">
        <v>0</v>
      </c>
      <c r="E60" s="217"/>
      <c r="F60" s="217">
        <v>0</v>
      </c>
      <c r="G60" s="215">
        <v>4858846.95</v>
      </c>
      <c r="H60" s="218"/>
      <c r="I60" s="217">
        <v>0</v>
      </c>
      <c r="J60" s="217">
        <v>0</v>
      </c>
      <c r="K60" s="219">
        <v>4858846.95</v>
      </c>
    </row>
    <row r="61" spans="1:11" customFormat="1" ht="15" hidden="1" x14ac:dyDescent="0.2">
      <c r="A61" s="1"/>
      <c r="B61" s="44" t="s">
        <v>430</v>
      </c>
      <c r="C61" s="217"/>
      <c r="D61" s="217">
        <v>0</v>
      </c>
      <c r="E61" s="217">
        <v>0</v>
      </c>
      <c r="F61" s="217">
        <v>0</v>
      </c>
      <c r="G61" s="215">
        <v>0</v>
      </c>
      <c r="H61" s="218"/>
      <c r="I61" s="217">
        <v>0</v>
      </c>
      <c r="J61" s="217">
        <v>0</v>
      </c>
      <c r="K61" s="219">
        <v>0</v>
      </c>
    </row>
    <row r="62" spans="1:11" customFormat="1" ht="17.25" hidden="1" x14ac:dyDescent="0.35">
      <c r="A62" s="1"/>
      <c r="B62" s="44" t="s">
        <v>431</v>
      </c>
      <c r="C62" s="220">
        <v>2048630.27</v>
      </c>
      <c r="D62" s="220">
        <v>0</v>
      </c>
      <c r="E62" s="220">
        <v>0</v>
      </c>
      <c r="F62" s="220">
        <v>0</v>
      </c>
      <c r="G62" s="221">
        <v>2048630.27</v>
      </c>
      <c r="H62" s="222"/>
      <c r="I62" s="220">
        <v>0</v>
      </c>
      <c r="J62" s="220">
        <v>0</v>
      </c>
      <c r="K62" s="223">
        <v>2048630.27</v>
      </c>
    </row>
    <row r="63" spans="1:11" customFormat="1" ht="15.75" hidden="1" x14ac:dyDescent="0.25">
      <c r="A63" s="1"/>
      <c r="B63" s="45" t="s">
        <v>439</v>
      </c>
      <c r="C63" s="224">
        <v>52942506.780000009</v>
      </c>
      <c r="D63" s="224">
        <v>19538995.010000002</v>
      </c>
      <c r="E63" s="224">
        <v>11810677.619999999</v>
      </c>
      <c r="F63" s="224">
        <v>1003826</v>
      </c>
      <c r="G63" s="224">
        <v>85296005.409999996</v>
      </c>
      <c r="H63" s="224"/>
      <c r="I63" s="225">
        <v>12277453.01</v>
      </c>
      <c r="J63" s="225">
        <v>12277453.01</v>
      </c>
      <c r="K63" s="226">
        <v>97573458.420000002</v>
      </c>
    </row>
    <row r="64" spans="1:11" customFormat="1" ht="15.75" hidden="1" x14ac:dyDescent="0.25">
      <c r="A64" s="1"/>
      <c r="B64" s="44"/>
      <c r="C64" s="218"/>
      <c r="D64" s="218"/>
      <c r="E64" s="218"/>
      <c r="F64" s="218"/>
      <c r="G64" s="218"/>
      <c r="H64" s="218"/>
      <c r="I64" s="217"/>
      <c r="J64" s="225"/>
      <c r="K64" s="227"/>
    </row>
    <row r="65" spans="1:15" customFormat="1" ht="15.75" hidden="1" x14ac:dyDescent="0.25">
      <c r="A65" s="1"/>
      <c r="B65" s="196" t="s">
        <v>432</v>
      </c>
      <c r="C65" s="224"/>
      <c r="D65" s="224"/>
      <c r="E65" s="224"/>
      <c r="F65" s="224"/>
      <c r="G65" s="224"/>
      <c r="H65" s="224"/>
      <c r="I65" s="225"/>
      <c r="J65" s="225"/>
      <c r="K65" s="227"/>
    </row>
    <row r="66" spans="1:15" customFormat="1" ht="15" hidden="1" x14ac:dyDescent="0.2">
      <c r="A66" s="1"/>
      <c r="B66" s="44" t="s">
        <v>428</v>
      </c>
      <c r="C66" s="218">
        <v>30573532.010000002</v>
      </c>
      <c r="D66" s="218">
        <v>19538995.010000002</v>
      </c>
      <c r="E66" s="218">
        <v>11030301.07</v>
      </c>
      <c r="F66" s="218">
        <v>83652.25</v>
      </c>
      <c r="G66" s="215">
        <v>61226480.340000004</v>
      </c>
      <c r="H66" s="218">
        <v>11185623.23</v>
      </c>
      <c r="I66" s="217">
        <v>11453429.41</v>
      </c>
      <c r="J66" s="217">
        <v>11453429.41</v>
      </c>
      <c r="K66" s="219">
        <v>72679909.75</v>
      </c>
    </row>
    <row r="67" spans="1:15" customFormat="1" ht="15" hidden="1" x14ac:dyDescent="0.2">
      <c r="A67" s="1"/>
      <c r="B67" s="44" t="s">
        <v>433</v>
      </c>
      <c r="C67" s="218">
        <v>800420.24</v>
      </c>
      <c r="D67" s="218">
        <v>0</v>
      </c>
      <c r="E67" s="218">
        <v>124565.2</v>
      </c>
      <c r="F67" s="218">
        <v>16730.45</v>
      </c>
      <c r="G67" s="215">
        <v>941715.89</v>
      </c>
      <c r="H67" s="218"/>
      <c r="I67" s="217">
        <v>494851.3</v>
      </c>
      <c r="J67" s="217">
        <v>494851.3</v>
      </c>
      <c r="K67" s="219">
        <v>1436567.199</v>
      </c>
    </row>
    <row r="68" spans="1:15" customFormat="1" ht="15" hidden="1" x14ac:dyDescent="0.2">
      <c r="A68" s="1"/>
      <c r="B68" s="44" t="s">
        <v>431</v>
      </c>
      <c r="C68" s="218">
        <v>2048630.27</v>
      </c>
      <c r="D68" s="218">
        <v>0</v>
      </c>
      <c r="E68" s="218">
        <v>0</v>
      </c>
      <c r="F68" s="218"/>
      <c r="G68" s="215">
        <v>2048630.27</v>
      </c>
      <c r="H68" s="218"/>
      <c r="I68" s="217">
        <v>0</v>
      </c>
      <c r="J68" s="217">
        <v>0</v>
      </c>
      <c r="K68" s="219">
        <v>2048630.27</v>
      </c>
    </row>
    <row r="69" spans="1:15" customFormat="1" ht="17.25" hidden="1" x14ac:dyDescent="0.35">
      <c r="A69" s="1"/>
      <c r="B69" s="44" t="s">
        <v>434</v>
      </c>
      <c r="C69" s="222">
        <v>331621.5</v>
      </c>
      <c r="D69" s="222">
        <v>0</v>
      </c>
      <c r="E69" s="222">
        <v>0</v>
      </c>
      <c r="F69" s="222">
        <v>0</v>
      </c>
      <c r="G69" s="228">
        <v>331621.5</v>
      </c>
      <c r="H69" s="222"/>
      <c r="I69" s="220">
        <v>0</v>
      </c>
      <c r="J69" s="220">
        <v>0</v>
      </c>
      <c r="K69" s="223">
        <v>331621.5</v>
      </c>
    </row>
    <row r="70" spans="1:15" customFormat="1" ht="20.25" hidden="1" x14ac:dyDescent="0.55000000000000004">
      <c r="A70" s="1"/>
      <c r="B70" s="45" t="s">
        <v>438</v>
      </c>
      <c r="C70" s="229">
        <v>33754204.019999996</v>
      </c>
      <c r="D70" s="229">
        <v>19538995.010000002</v>
      </c>
      <c r="E70" s="229">
        <v>11154866.27</v>
      </c>
      <c r="F70" s="229">
        <v>100382.7</v>
      </c>
      <c r="G70" s="229">
        <v>64548448.000000007</v>
      </c>
      <c r="H70" s="229"/>
      <c r="I70" s="230">
        <v>11948280.710000001</v>
      </c>
      <c r="J70" s="230">
        <v>11948280.710000001</v>
      </c>
      <c r="K70" s="231">
        <v>76496728.718999997</v>
      </c>
    </row>
    <row r="71" spans="1:15" customFormat="1" ht="20.25" hidden="1" x14ac:dyDescent="0.55000000000000004">
      <c r="A71" s="1"/>
      <c r="B71" s="45"/>
      <c r="C71" s="229"/>
      <c r="D71" s="229"/>
      <c r="E71" s="229"/>
      <c r="F71" s="229"/>
      <c r="G71" s="229"/>
      <c r="H71" s="229"/>
      <c r="I71" s="217"/>
      <c r="J71" s="217"/>
      <c r="K71" s="219"/>
    </row>
    <row r="72" spans="1:15" customFormat="1" ht="18" hidden="1" x14ac:dyDescent="0.4">
      <c r="A72" s="1"/>
      <c r="B72" s="45" t="s">
        <v>435</v>
      </c>
      <c r="C72" s="232">
        <v>19188302.760000013</v>
      </c>
      <c r="D72" s="232">
        <v>0</v>
      </c>
      <c r="E72" s="232">
        <v>655811.34999999963</v>
      </c>
      <c r="F72" s="232">
        <v>903443.3</v>
      </c>
      <c r="G72" s="232">
        <v>20747557.409999989</v>
      </c>
      <c r="H72" s="232"/>
      <c r="I72" s="232">
        <v>329172.29999999888</v>
      </c>
      <c r="J72" s="232">
        <v>329172.29999999888</v>
      </c>
      <c r="K72" s="233">
        <v>21076729.701000005</v>
      </c>
    </row>
    <row r="73" spans="1:15" customFormat="1" ht="15.75" hidden="1" thickBot="1" x14ac:dyDescent="0.25">
      <c r="A73" s="1"/>
      <c r="B73" s="53"/>
      <c r="C73" s="234"/>
      <c r="D73" s="234"/>
      <c r="E73" s="234"/>
      <c r="F73" s="234"/>
      <c r="G73" s="234"/>
      <c r="H73" s="234"/>
      <c r="I73" s="235"/>
      <c r="J73" s="235"/>
      <c r="K73" s="236"/>
    </row>
    <row r="74" spans="1:15" customFormat="1" ht="15" hidden="1" x14ac:dyDescent="0.2">
      <c r="A74" s="1"/>
      <c r="B74" s="1"/>
      <c r="C74" s="237"/>
      <c r="D74" s="237"/>
      <c r="E74" s="237"/>
      <c r="F74" s="237"/>
      <c r="G74" s="237"/>
      <c r="H74" s="237"/>
      <c r="I74" s="237"/>
      <c r="J74" s="237"/>
      <c r="K74" s="237"/>
    </row>
    <row r="75" spans="1:15" customFormat="1" ht="15" hidden="1" x14ac:dyDescent="0.2">
      <c r="A75" s="1"/>
      <c r="B75" s="1"/>
      <c r="C75" s="1"/>
      <c r="D75" s="1"/>
      <c r="E75" s="1"/>
      <c r="F75" s="6"/>
      <c r="G75" s="1"/>
      <c r="H75" s="1"/>
      <c r="I75" s="1"/>
      <c r="J75" s="1"/>
      <c r="K75" s="1"/>
    </row>
    <row r="76" spans="1:15" ht="24.75" hidden="1" customHeight="1" x14ac:dyDescent="0.2"/>
    <row r="77" spans="1:15" ht="24.75" hidden="1" customHeight="1" x14ac:dyDescent="0.2"/>
    <row r="78" spans="1:15" ht="24.75" hidden="1" customHeight="1" x14ac:dyDescent="0.2"/>
    <row r="79" spans="1:15" customFormat="1" ht="16.5" thickBot="1" x14ac:dyDescent="0.3">
      <c r="A79" s="1"/>
      <c r="B79" s="138"/>
      <c r="C79" s="263"/>
      <c r="D79" s="263"/>
      <c r="E79" s="263"/>
      <c r="F79" s="263"/>
      <c r="G79" s="138"/>
      <c r="H79" s="138"/>
      <c r="I79" s="210"/>
      <c r="J79" s="6"/>
      <c r="K79" s="1"/>
    </row>
    <row r="80" spans="1:15" customFormat="1" ht="30.75" thickBot="1" x14ac:dyDescent="0.25">
      <c r="A80" s="1"/>
      <c r="B80" s="238" t="s">
        <v>437</v>
      </c>
      <c r="C80" s="239" t="s">
        <v>468</v>
      </c>
      <c r="D80" s="239" t="s">
        <v>427</v>
      </c>
      <c r="E80" s="239" t="s">
        <v>426</v>
      </c>
      <c r="F80" s="239" t="s">
        <v>475</v>
      </c>
      <c r="G80" s="239" t="s">
        <v>470</v>
      </c>
      <c r="H80" s="239"/>
      <c r="I80" s="239" t="s">
        <v>436</v>
      </c>
      <c r="J80" s="239" t="s">
        <v>472</v>
      </c>
      <c r="K80" s="240" t="s">
        <v>471</v>
      </c>
      <c r="N80" s="242"/>
      <c r="O80" s="242"/>
    </row>
    <row r="81" spans="1:18" customFormat="1" ht="15" x14ac:dyDescent="0.2">
      <c r="A81" s="1"/>
      <c r="B81" s="43" t="s">
        <v>428</v>
      </c>
      <c r="C81" s="214">
        <v>51359787.539999992</v>
      </c>
      <c r="D81" s="214">
        <v>19538995.010000002</v>
      </c>
      <c r="E81" s="214">
        <v>2317253.5</v>
      </c>
      <c r="F81" s="214">
        <v>1003826</v>
      </c>
      <c r="G81" s="215">
        <v>74219862.049999997</v>
      </c>
      <c r="H81" s="214"/>
      <c r="I81" s="215">
        <v>5881555.6499999994</v>
      </c>
      <c r="J81" s="215">
        <v>5881555.6499999994</v>
      </c>
      <c r="K81" s="216">
        <v>80101417.700000003</v>
      </c>
      <c r="N81" s="242"/>
      <c r="O81" s="242"/>
    </row>
    <row r="82" spans="1:18" customFormat="1" ht="15" x14ac:dyDescent="0.2">
      <c r="A82" s="1"/>
      <c r="B82" s="44" t="s">
        <v>429</v>
      </c>
      <c r="C82" s="217">
        <v>17940</v>
      </c>
      <c r="D82" s="217">
        <v>0</v>
      </c>
      <c r="E82" s="217">
        <v>0</v>
      </c>
      <c r="F82" s="217">
        <v>0</v>
      </c>
      <c r="G82" s="215">
        <f>SUM(C82:F82)</f>
        <v>17940</v>
      </c>
      <c r="H82" s="218"/>
      <c r="I82" s="217">
        <v>0</v>
      </c>
      <c r="J82" s="217">
        <v>0</v>
      </c>
      <c r="K82" s="216">
        <f>+G82+J82</f>
        <v>17940</v>
      </c>
      <c r="N82" s="242"/>
      <c r="O82" s="242"/>
    </row>
    <row r="83" spans="1:18" customFormat="1" ht="15" x14ac:dyDescent="0.2">
      <c r="A83" s="1"/>
      <c r="B83" s="44" t="s">
        <v>430</v>
      </c>
      <c r="C83" s="217">
        <v>0</v>
      </c>
      <c r="D83" s="217">
        <v>0</v>
      </c>
      <c r="E83" s="217">
        <v>0</v>
      </c>
      <c r="F83" s="217">
        <v>0</v>
      </c>
      <c r="G83" s="215">
        <f>SUM(C83:F83)</f>
        <v>0</v>
      </c>
      <c r="H83" s="218"/>
      <c r="I83" s="217"/>
      <c r="J83" s="215"/>
      <c r="K83" s="216">
        <f>+G83+J83</f>
        <v>0</v>
      </c>
    </row>
    <row r="84" spans="1:18" customFormat="1" ht="17.25" x14ac:dyDescent="0.35">
      <c r="A84" s="1"/>
      <c r="B84" s="44" t="s">
        <v>431</v>
      </c>
      <c r="C84" s="220">
        <v>0</v>
      </c>
      <c r="D84" s="220">
        <v>0</v>
      </c>
      <c r="E84" s="220">
        <v>0</v>
      </c>
      <c r="F84" s="220">
        <v>0</v>
      </c>
      <c r="G84" s="221">
        <f>SUM(C84:F84)</f>
        <v>0</v>
      </c>
      <c r="H84" s="222"/>
      <c r="I84" s="220">
        <v>0</v>
      </c>
      <c r="J84" s="220">
        <f>+I84</f>
        <v>0</v>
      </c>
      <c r="K84" s="241">
        <f>+G84+J84</f>
        <v>0</v>
      </c>
      <c r="N84" s="242"/>
    </row>
    <row r="85" spans="1:18" customFormat="1" ht="15.75" x14ac:dyDescent="0.25">
      <c r="A85" s="1"/>
      <c r="B85" s="45" t="s">
        <v>439</v>
      </c>
      <c r="C85" s="224">
        <f>+C81+C82-C83-C84</f>
        <v>51377727.539999992</v>
      </c>
      <c r="D85" s="224">
        <f>+D81+D82-D83-D84</f>
        <v>19538995.010000002</v>
      </c>
      <c r="E85" s="224">
        <f>+E81+E82-E83-E84</f>
        <v>2317253.5</v>
      </c>
      <c r="F85" s="224">
        <f>+F81+F82-F83-F84</f>
        <v>1003826</v>
      </c>
      <c r="G85" s="224">
        <f>+G81+G82-G83-G84</f>
        <v>74237802.049999997</v>
      </c>
      <c r="H85" s="224"/>
      <c r="I85" s="225">
        <f>+I81-I84</f>
        <v>5881555.6499999994</v>
      </c>
      <c r="J85" s="225">
        <f>+J81-J84</f>
        <v>5881555.6499999994</v>
      </c>
      <c r="K85" s="227">
        <f>+K81+K82-K83-K84</f>
        <v>80119357.700000003</v>
      </c>
      <c r="N85" s="242"/>
    </row>
    <row r="86" spans="1:18" customFormat="1" ht="15.75" x14ac:dyDescent="0.25">
      <c r="A86" s="1"/>
      <c r="B86" s="44"/>
      <c r="C86" s="218"/>
      <c r="D86" s="218"/>
      <c r="E86" s="218"/>
      <c r="F86" s="218"/>
      <c r="G86" s="218"/>
      <c r="H86" s="218"/>
      <c r="I86" s="217"/>
      <c r="J86" s="225"/>
      <c r="K86" s="227"/>
      <c r="N86" s="242"/>
    </row>
    <row r="87" spans="1:18" customFormat="1" ht="15.75" x14ac:dyDescent="0.25">
      <c r="A87" s="1"/>
      <c r="B87" s="196" t="s">
        <v>432</v>
      </c>
      <c r="C87" s="224"/>
      <c r="D87" s="224"/>
      <c r="E87" s="224"/>
      <c r="F87" s="224"/>
      <c r="G87" s="224"/>
      <c r="H87" s="224"/>
      <c r="I87" s="225"/>
      <c r="J87" s="225"/>
      <c r="K87" s="227"/>
    </row>
    <row r="88" spans="1:18" customFormat="1" ht="15" x14ac:dyDescent="0.2">
      <c r="A88" s="1"/>
      <c r="B88" s="44" t="s">
        <v>428</v>
      </c>
      <c r="C88" s="218">
        <v>29741247.93</v>
      </c>
      <c r="D88" s="218">
        <v>19538995.010000002</v>
      </c>
      <c r="E88" s="218">
        <v>1685052.7499999981</v>
      </c>
      <c r="F88" s="218">
        <v>184034.95000000004</v>
      </c>
      <c r="G88" s="215">
        <f>SUM(C88:F88)</f>
        <v>51149330.640000001</v>
      </c>
      <c r="H88" s="218"/>
      <c r="I88" s="217">
        <v>5844079.0700000012</v>
      </c>
      <c r="J88" s="217">
        <f>+I88</f>
        <v>5844079.0700000012</v>
      </c>
      <c r="K88" s="219">
        <f>+G88+J88</f>
        <v>56993409.710000001</v>
      </c>
    </row>
    <row r="89" spans="1:18" customFormat="1" ht="15" x14ac:dyDescent="0.2">
      <c r="A89" s="1"/>
      <c r="B89" s="44" t="s">
        <v>433</v>
      </c>
      <c r="C89" s="218">
        <f>518702.18+5809.33</f>
        <v>524511.51</v>
      </c>
      <c r="D89" s="218">
        <v>0</v>
      </c>
      <c r="E89" s="218">
        <v>18670.78</v>
      </c>
      <c r="F89" s="218">
        <v>16730.45</v>
      </c>
      <c r="G89" s="215">
        <f>SUM(C89:F89)</f>
        <v>559912.74</v>
      </c>
      <c r="H89" s="218"/>
      <c r="I89" s="217">
        <v>9369.15</v>
      </c>
      <c r="J89" s="217">
        <f>+I89</f>
        <v>9369.15</v>
      </c>
      <c r="K89" s="219">
        <f>+J89+G89</f>
        <v>569281.89</v>
      </c>
    </row>
    <row r="90" spans="1:18" customFormat="1" ht="15" x14ac:dyDescent="0.2">
      <c r="A90" s="1"/>
      <c r="B90" s="44" t="s">
        <v>431</v>
      </c>
      <c r="C90" s="218">
        <v>0</v>
      </c>
      <c r="D90" s="218">
        <v>0</v>
      </c>
      <c r="E90" s="218">
        <v>0</v>
      </c>
      <c r="F90" s="218">
        <v>0</v>
      </c>
      <c r="G90" s="215">
        <f>SUM(C90:F90)</f>
        <v>0</v>
      </c>
      <c r="H90" s="218"/>
      <c r="I90" s="217"/>
      <c r="J90" s="217">
        <v>0</v>
      </c>
      <c r="K90" s="219">
        <f>+J90+G90</f>
        <v>0</v>
      </c>
    </row>
    <row r="91" spans="1:18" customFormat="1" ht="17.25" x14ac:dyDescent="0.35">
      <c r="A91" s="1"/>
      <c r="B91" s="44" t="s">
        <v>434</v>
      </c>
      <c r="C91" s="222">
        <v>0</v>
      </c>
      <c r="D91" s="222">
        <v>0</v>
      </c>
      <c r="E91" s="222">
        <v>0</v>
      </c>
      <c r="F91" s="222">
        <v>0</v>
      </c>
      <c r="G91" s="221">
        <f>SUM(C91:F91)</f>
        <v>0</v>
      </c>
      <c r="H91" s="222"/>
      <c r="I91" s="220">
        <v>0</v>
      </c>
      <c r="J91" s="220">
        <v>0</v>
      </c>
      <c r="K91" s="223">
        <f>+J91+G91</f>
        <v>0</v>
      </c>
    </row>
    <row r="92" spans="1:18" customFormat="1" ht="20.25" x14ac:dyDescent="0.55000000000000004">
      <c r="A92" s="1"/>
      <c r="B92" s="45" t="s">
        <v>438</v>
      </c>
      <c r="C92" s="229">
        <f>+C88+C89-C90-C91</f>
        <v>30265759.440000001</v>
      </c>
      <c r="D92" s="229">
        <f>+D88+D89-D90-D91</f>
        <v>19538995.010000002</v>
      </c>
      <c r="E92" s="229">
        <f>+E88+E89-E90-E91</f>
        <v>1703723.5299999982</v>
      </c>
      <c r="F92" s="229">
        <f>+F88+F89-F90-F91</f>
        <v>200765.40000000005</v>
      </c>
      <c r="G92" s="229">
        <f>+G88+G89-G90-G91</f>
        <v>51709243.380000003</v>
      </c>
      <c r="H92" s="229"/>
      <c r="I92" s="230">
        <f>+I88-I90+I89</f>
        <v>5853448.2200000016</v>
      </c>
      <c r="J92" s="230">
        <f>+J88-J90+J89</f>
        <v>5853448.2200000016</v>
      </c>
      <c r="K92" s="305">
        <f>+K88+K89-K90-K91</f>
        <v>57562691.600000001</v>
      </c>
    </row>
    <row r="93" spans="1:18" customFormat="1" ht="20.25" x14ac:dyDescent="0.55000000000000004">
      <c r="A93" s="1"/>
      <c r="B93" s="45"/>
      <c r="C93" s="229"/>
      <c r="D93" s="229"/>
      <c r="E93" s="229"/>
      <c r="F93" s="229"/>
      <c r="G93" s="229"/>
      <c r="H93" s="229"/>
      <c r="I93" s="217"/>
      <c r="J93" s="217"/>
      <c r="K93" s="219"/>
      <c r="N93" s="242"/>
      <c r="O93" s="242"/>
      <c r="P93" s="242"/>
      <c r="Q93" s="242"/>
      <c r="R93" s="243"/>
    </row>
    <row r="94" spans="1:18" customFormat="1" ht="18" x14ac:dyDescent="0.4">
      <c r="A94" s="1"/>
      <c r="B94" s="45" t="s">
        <v>435</v>
      </c>
      <c r="C94" s="232">
        <f>+C85-C92</f>
        <v>21111968.09999999</v>
      </c>
      <c r="D94" s="232">
        <f>+D85-D92</f>
        <v>0</v>
      </c>
      <c r="E94" s="232">
        <f>+E85-E92</f>
        <v>613529.97000000183</v>
      </c>
      <c r="F94" s="232">
        <f>+F85-F92</f>
        <v>803060.6</v>
      </c>
      <c r="G94" s="232">
        <f>+G85-G92</f>
        <v>22528558.669999994</v>
      </c>
      <c r="H94" s="232"/>
      <c r="I94" s="232">
        <f>+I85-I92</f>
        <v>28107.429999997839</v>
      </c>
      <c r="J94" s="232">
        <f>+J85-J92</f>
        <v>28107.429999997839</v>
      </c>
      <c r="K94" s="233">
        <f>+K85-K92</f>
        <v>22556666.100000001</v>
      </c>
      <c r="N94" s="242"/>
      <c r="O94" s="242"/>
      <c r="P94" s="242"/>
      <c r="Q94" s="242"/>
      <c r="R94" s="243"/>
    </row>
    <row r="95" spans="1:18" customFormat="1" ht="15.75" thickBot="1" x14ac:dyDescent="0.25">
      <c r="A95" s="1"/>
      <c r="B95" s="53"/>
      <c r="C95" s="234"/>
      <c r="D95" s="234"/>
      <c r="E95" s="234"/>
      <c r="F95" s="234"/>
      <c r="G95" s="234"/>
      <c r="H95" s="234"/>
      <c r="I95" s="235"/>
      <c r="J95" s="235"/>
      <c r="K95" s="236"/>
      <c r="N95" s="242"/>
      <c r="O95" s="242"/>
      <c r="P95" s="242"/>
      <c r="Q95" s="242"/>
      <c r="R95" s="242"/>
    </row>
    <row r="96" spans="1:18" customFormat="1" ht="15" x14ac:dyDescent="0.2">
      <c r="A96" s="1"/>
      <c r="B96" s="1"/>
      <c r="C96" s="237"/>
      <c r="D96" s="237"/>
      <c r="E96" s="237"/>
      <c r="F96" s="237"/>
      <c r="G96" s="237"/>
      <c r="H96" s="237"/>
      <c r="I96" s="237"/>
      <c r="J96" s="237"/>
      <c r="K96" s="237"/>
      <c r="N96" s="242"/>
      <c r="O96" s="242"/>
      <c r="P96" s="242"/>
      <c r="Q96" s="242"/>
    </row>
    <row r="97" spans="2:18" ht="24.75" customHeight="1" x14ac:dyDescent="0.2">
      <c r="B97" s="6"/>
      <c r="C97" s="6">
        <f>+C94-21111968.1</f>
        <v>0</v>
      </c>
      <c r="D97" s="6"/>
      <c r="E97" s="2"/>
      <c r="F97" s="2"/>
      <c r="G97" s="2"/>
      <c r="I97" s="6"/>
      <c r="J97" s="6"/>
      <c r="K97" s="6"/>
      <c r="N97" s="11"/>
      <c r="O97" s="11"/>
      <c r="P97" s="11"/>
      <c r="Q97" s="11"/>
    </row>
    <row r="98" spans="2:18" ht="24.75" customHeight="1" x14ac:dyDescent="0.3">
      <c r="B98" s="260"/>
      <c r="C98" s="6"/>
      <c r="D98" s="6"/>
      <c r="E98" s="2"/>
      <c r="F98" s="2"/>
      <c r="G98" s="2"/>
      <c r="I98" s="6"/>
      <c r="J98" s="6"/>
      <c r="K98" s="6"/>
      <c r="Q98" s="6"/>
    </row>
    <row r="99" spans="2:18" ht="24.75" customHeight="1" x14ac:dyDescent="0.3">
      <c r="B99" s="261"/>
      <c r="C99" s="6"/>
      <c r="D99" s="6"/>
      <c r="E99" s="2"/>
      <c r="F99" s="2"/>
      <c r="G99" s="2"/>
      <c r="I99" s="6"/>
      <c r="J99" s="6"/>
      <c r="K99" s="6"/>
      <c r="R99" s="6"/>
    </row>
    <row r="100" spans="2:18" ht="24.75" customHeight="1" x14ac:dyDescent="0.3">
      <c r="B100" s="262"/>
      <c r="C100" s="6"/>
      <c r="D100" s="6"/>
      <c r="E100" s="2"/>
      <c r="F100" s="2"/>
      <c r="G100" s="2"/>
      <c r="I100" s="6"/>
      <c r="J100" s="6"/>
      <c r="K100" s="6"/>
    </row>
    <row r="101" spans="2:18" ht="24.75" customHeight="1" x14ac:dyDescent="0.3">
      <c r="B101" s="262"/>
      <c r="C101" s="6"/>
      <c r="D101" s="6"/>
      <c r="E101" s="2"/>
      <c r="F101" s="2"/>
      <c r="G101" s="2"/>
      <c r="I101" s="6"/>
      <c r="J101" s="6"/>
      <c r="K101" s="6"/>
    </row>
    <row r="102" spans="2:18" ht="24.75" customHeight="1" x14ac:dyDescent="0.3">
      <c r="B102" s="262"/>
      <c r="C102" s="6"/>
      <c r="D102" s="6"/>
      <c r="E102" s="2"/>
      <c r="F102" s="2"/>
      <c r="G102" s="2"/>
      <c r="I102" s="6"/>
      <c r="J102" s="6"/>
      <c r="K102" s="6"/>
    </row>
    <row r="103" spans="2:18" ht="24.75" customHeight="1" x14ac:dyDescent="0.2">
      <c r="C103" s="6"/>
      <c r="D103" s="6"/>
      <c r="E103" s="2"/>
      <c r="F103" s="2"/>
      <c r="G103" s="2"/>
      <c r="I103" s="6"/>
      <c r="J103" s="6"/>
      <c r="K103" s="6"/>
    </row>
  </sheetData>
  <mergeCells count="15">
    <mergeCell ref="B53:K53"/>
    <mergeCell ref="B54:K54"/>
    <mergeCell ref="B55:K55"/>
    <mergeCell ref="B56:K56"/>
    <mergeCell ref="B28:K28"/>
    <mergeCell ref="B29:K29"/>
    <mergeCell ref="B30:K30"/>
    <mergeCell ref="B31:K31"/>
    <mergeCell ref="B32:K32"/>
    <mergeCell ref="B52:K52"/>
    <mergeCell ref="B3:K3"/>
    <mergeCell ref="B4:K4"/>
    <mergeCell ref="B5:K5"/>
    <mergeCell ref="B6:K6"/>
    <mergeCell ref="B7:K7"/>
  </mergeCells>
  <pageMargins left="0.19685039370078741" right="0.19685039370078741" top="0.74803149606299213" bottom="0.74803149606299213" header="0.31496062992125984" footer="0.31496062992125984"/>
  <pageSetup scale="56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view="pageBreakPreview" topLeftCell="A86" zoomScale="90" zoomScaleNormal="100" zoomScaleSheetLayoutView="90" workbookViewId="0">
      <selection activeCell="C15" sqref="C15"/>
    </sheetView>
  </sheetViews>
  <sheetFormatPr baseColWidth="10" defaultColWidth="9.140625" defaultRowHeight="24.75" customHeight="1" x14ac:dyDescent="0.2"/>
  <cols>
    <col min="1" max="1" width="68.28515625" style="1" customWidth="1"/>
    <col min="2" max="2" width="21.5703125" style="1" customWidth="1"/>
    <col min="3" max="3" width="16.42578125" style="1" customWidth="1"/>
    <col min="4" max="4" width="15.7109375" style="1" bestFit="1" customWidth="1"/>
    <col min="5" max="5" width="17.42578125" style="1" bestFit="1" customWidth="1"/>
    <col min="6" max="6" width="16.85546875" style="1" customWidth="1"/>
    <col min="7" max="7" width="12.42578125" style="1" customWidth="1"/>
    <col min="8" max="16384" width="9.140625" style="1"/>
  </cols>
  <sheetData>
    <row r="1" spans="1:6" ht="24.75" customHeight="1" x14ac:dyDescent="0.2">
      <c r="B1" s="2"/>
      <c r="C1" s="2"/>
      <c r="D1" s="2"/>
    </row>
    <row r="2" spans="1:6" ht="24.75" customHeight="1" x14ac:dyDescent="0.25">
      <c r="A2" s="10"/>
      <c r="B2" s="10"/>
      <c r="C2" s="10"/>
      <c r="D2" s="10"/>
    </row>
    <row r="3" spans="1:6" ht="24.75" customHeight="1" x14ac:dyDescent="0.25">
      <c r="A3" s="398" t="s">
        <v>335</v>
      </c>
      <c r="B3" s="398"/>
      <c r="C3" s="10"/>
      <c r="D3" s="10"/>
    </row>
    <row r="4" spans="1:6" ht="24.75" customHeight="1" x14ac:dyDescent="0.25">
      <c r="A4" s="398" t="s">
        <v>227</v>
      </c>
      <c r="B4" s="398"/>
      <c r="C4" s="10"/>
      <c r="D4" s="10"/>
    </row>
    <row r="5" spans="1:6" ht="24.75" customHeight="1" x14ac:dyDescent="0.25">
      <c r="A5" s="398" t="s">
        <v>211</v>
      </c>
      <c r="B5" s="398"/>
      <c r="C5" s="10"/>
      <c r="D5" s="10"/>
    </row>
    <row r="6" spans="1:6" ht="24.75" customHeight="1" x14ac:dyDescent="0.25">
      <c r="A6" s="399">
        <v>45169</v>
      </c>
      <c r="B6" s="399"/>
      <c r="C6" s="46"/>
      <c r="D6" s="61"/>
      <c r="E6" s="146"/>
      <c r="F6" s="147"/>
    </row>
    <row r="7" spans="1:6" ht="24.75" customHeight="1" thickBot="1" x14ac:dyDescent="0.3">
      <c r="A7" s="47"/>
      <c r="B7" s="148"/>
      <c r="C7" s="149"/>
      <c r="D7" s="61"/>
      <c r="E7" s="146"/>
      <c r="F7" s="18"/>
    </row>
    <row r="8" spans="1:6" ht="24.75" customHeight="1" thickBot="1" x14ac:dyDescent="0.3">
      <c r="A8" s="30" t="s">
        <v>240</v>
      </c>
      <c r="B8" s="31" t="s">
        <v>212</v>
      </c>
      <c r="D8" s="61"/>
      <c r="E8" s="146"/>
      <c r="F8" s="18"/>
    </row>
    <row r="9" spans="1:6" ht="24.75" customHeight="1" x14ac:dyDescent="0.25">
      <c r="A9" s="158" t="s">
        <v>127</v>
      </c>
      <c r="B9" s="334">
        <v>3435101.08</v>
      </c>
      <c r="D9" s="88"/>
      <c r="E9" s="146"/>
      <c r="F9" s="147"/>
    </row>
    <row r="10" spans="1:6" ht="24.75" customHeight="1" x14ac:dyDescent="0.25">
      <c r="A10" s="153" t="s">
        <v>199</v>
      </c>
      <c r="B10" s="335">
        <v>311277.77</v>
      </c>
      <c r="C10" s="11"/>
      <c r="D10" s="207"/>
      <c r="E10" s="146"/>
      <c r="F10" s="18"/>
    </row>
    <row r="11" spans="1:6" ht="24.75" customHeight="1" x14ac:dyDescent="0.25">
      <c r="A11" s="153" t="s">
        <v>69</v>
      </c>
      <c r="B11" s="335">
        <v>261596.5</v>
      </c>
      <c r="D11" s="61"/>
      <c r="E11" s="146"/>
      <c r="F11" s="147"/>
    </row>
    <row r="12" spans="1:6" ht="24.75" customHeight="1" x14ac:dyDescent="0.25">
      <c r="A12" s="153" t="s">
        <v>226</v>
      </c>
      <c r="B12" s="335">
        <v>239700</v>
      </c>
      <c r="D12" s="61"/>
      <c r="E12" s="146"/>
      <c r="F12" s="18"/>
    </row>
    <row r="13" spans="1:6" ht="24.75" hidden="1" customHeight="1" x14ac:dyDescent="0.2">
      <c r="A13" s="153" t="s">
        <v>366</v>
      </c>
      <c r="B13" s="154"/>
      <c r="D13" s="61"/>
      <c r="E13" s="146"/>
      <c r="F13" s="147"/>
    </row>
    <row r="14" spans="1:6" ht="24.75" hidden="1" customHeight="1" x14ac:dyDescent="0.2">
      <c r="A14" s="153" t="s">
        <v>290</v>
      </c>
      <c r="B14" s="154">
        <v>0</v>
      </c>
      <c r="D14" s="61"/>
      <c r="E14" s="146"/>
      <c r="F14" s="147"/>
    </row>
    <row r="15" spans="1:6" ht="24.75" customHeight="1" x14ac:dyDescent="0.25">
      <c r="A15" s="153" t="s">
        <v>274</v>
      </c>
      <c r="B15" s="335">
        <v>954719</v>
      </c>
      <c r="D15" s="2"/>
    </row>
    <row r="16" spans="1:6" ht="24.75" customHeight="1" x14ac:dyDescent="0.25">
      <c r="A16" s="155" t="s">
        <v>474</v>
      </c>
      <c r="B16" s="335">
        <v>1243395.3400000001</v>
      </c>
      <c r="D16" s="208"/>
    </row>
    <row r="17" spans="1:6" ht="24.75" customHeight="1" x14ac:dyDescent="0.4">
      <c r="A17" s="156" t="s">
        <v>129</v>
      </c>
      <c r="B17" s="157">
        <f>SUM(B9:B16)</f>
        <v>6445789.6899999995</v>
      </c>
      <c r="D17" s="2"/>
      <c r="F17" s="6"/>
    </row>
    <row r="18" spans="1:6" ht="24.75" customHeight="1" thickBot="1" x14ac:dyDescent="0.25">
      <c r="A18" s="53"/>
      <c r="B18" s="137"/>
      <c r="D18" s="2"/>
    </row>
    <row r="19" spans="1:6" ht="24.75" customHeight="1" x14ac:dyDescent="0.2">
      <c r="B19" s="4"/>
      <c r="D19" s="2"/>
    </row>
    <row r="20" spans="1:6" ht="24.75" customHeight="1" x14ac:dyDescent="0.2">
      <c r="B20" s="4"/>
      <c r="D20" s="2"/>
    </row>
    <row r="21" spans="1:6" ht="24.75" customHeight="1" x14ac:dyDescent="0.2">
      <c r="B21" s="4"/>
      <c r="D21" s="2"/>
    </row>
    <row r="22" spans="1:6" ht="24.75" customHeight="1" x14ac:dyDescent="0.2">
      <c r="B22" s="4"/>
      <c r="D22" s="2"/>
    </row>
    <row r="23" spans="1:6" ht="24.75" customHeight="1" x14ac:dyDescent="0.2">
      <c r="B23" s="4"/>
      <c r="D23" s="2"/>
    </row>
    <row r="24" spans="1:6" ht="24.75" customHeight="1" x14ac:dyDescent="0.2">
      <c r="B24" s="4"/>
      <c r="D24" s="2"/>
    </row>
    <row r="25" spans="1:6" ht="24.75" customHeight="1" x14ac:dyDescent="0.2">
      <c r="B25" s="4"/>
      <c r="D25" s="2"/>
    </row>
    <row r="26" spans="1:6" ht="24.75" customHeight="1" x14ac:dyDescent="0.2">
      <c r="B26" s="4"/>
      <c r="D26" s="2"/>
    </row>
    <row r="27" spans="1:6" ht="24.75" customHeight="1" x14ac:dyDescent="0.2">
      <c r="B27" s="4"/>
      <c r="D27" s="2"/>
    </row>
    <row r="28" spans="1:6" ht="24.75" customHeight="1" x14ac:dyDescent="0.2">
      <c r="B28" s="4"/>
      <c r="D28" s="2"/>
    </row>
    <row r="29" spans="1:6" ht="24.75" customHeight="1" x14ac:dyDescent="0.2">
      <c r="B29" s="2"/>
    </row>
    <row r="30" spans="1:6" ht="24.75" customHeight="1" x14ac:dyDescent="0.2">
      <c r="B30" s="2"/>
    </row>
    <row r="31" spans="1:6" ht="24.75" customHeight="1" x14ac:dyDescent="0.25">
      <c r="A31" s="398" t="s">
        <v>335</v>
      </c>
      <c r="B31" s="398"/>
    </row>
    <row r="32" spans="1:6" ht="24.75" customHeight="1" x14ac:dyDescent="0.25">
      <c r="A32" s="398" t="s">
        <v>227</v>
      </c>
      <c r="B32" s="398"/>
    </row>
    <row r="33" spans="1:7" ht="24.75" customHeight="1" x14ac:dyDescent="0.25">
      <c r="A33" s="398" t="s">
        <v>127</v>
      </c>
      <c r="B33" s="398"/>
      <c r="D33" s="152"/>
      <c r="G33" s="2"/>
    </row>
    <row r="34" spans="1:7" ht="24.75" customHeight="1" x14ac:dyDescent="0.25">
      <c r="A34" s="399">
        <v>45169</v>
      </c>
      <c r="B34" s="399"/>
      <c r="G34" s="7"/>
    </row>
    <row r="35" spans="1:7" ht="24.75" customHeight="1" thickBot="1" x14ac:dyDescent="0.25">
      <c r="G35" s="7"/>
    </row>
    <row r="36" spans="1:7" ht="24.75" customHeight="1" x14ac:dyDescent="0.25">
      <c r="A36" s="376" t="s">
        <v>240</v>
      </c>
      <c r="B36" s="377" t="s">
        <v>212</v>
      </c>
      <c r="G36" s="7"/>
    </row>
    <row r="37" spans="1:7" ht="24.75" customHeight="1" x14ac:dyDescent="0.3">
      <c r="A37" s="378" t="s">
        <v>820</v>
      </c>
      <c r="B37" s="379">
        <v>13186.5</v>
      </c>
    </row>
    <row r="38" spans="1:7" ht="24.75" customHeight="1" x14ac:dyDescent="0.3">
      <c r="A38" s="378" t="s">
        <v>821</v>
      </c>
      <c r="B38" s="379">
        <v>129676.1</v>
      </c>
    </row>
    <row r="39" spans="1:7" ht="24.75" customHeight="1" x14ac:dyDescent="0.3">
      <c r="A39" s="378" t="s">
        <v>822</v>
      </c>
      <c r="B39" s="379">
        <v>1342946.2</v>
      </c>
    </row>
    <row r="40" spans="1:7" ht="24.75" customHeight="1" x14ac:dyDescent="0.3">
      <c r="A40" s="378" t="s">
        <v>823</v>
      </c>
      <c r="B40" s="379">
        <v>649687.98</v>
      </c>
    </row>
    <row r="41" spans="1:7" ht="24.75" customHeight="1" x14ac:dyDescent="0.3">
      <c r="A41" s="378" t="s">
        <v>824</v>
      </c>
      <c r="B41" s="379">
        <v>1299604.3</v>
      </c>
    </row>
    <row r="42" spans="1:7" ht="24.75" customHeight="1" x14ac:dyDescent="0.45">
      <c r="A42" s="45" t="s">
        <v>224</v>
      </c>
      <c r="B42" s="336">
        <f>SUM(B37:B41)</f>
        <v>3435101.08</v>
      </c>
    </row>
    <row r="43" spans="1:7" ht="24.75" customHeight="1" thickBot="1" x14ac:dyDescent="0.25">
      <c r="A43" s="53"/>
      <c r="B43" s="137"/>
      <c r="D43" s="2"/>
    </row>
    <row r="44" spans="1:7" ht="24.75" customHeight="1" x14ac:dyDescent="0.2">
      <c r="B44" s="4"/>
      <c r="D44" s="2"/>
    </row>
    <row r="45" spans="1:7" ht="24.75" customHeight="1" x14ac:dyDescent="0.2">
      <c r="B45" s="4">
        <f>+B9-B42</f>
        <v>0</v>
      </c>
      <c r="D45" s="2"/>
    </row>
    <row r="46" spans="1:7" ht="24.75" customHeight="1" x14ac:dyDescent="0.2">
      <c r="B46" s="4"/>
      <c r="D46" s="2"/>
    </row>
    <row r="47" spans="1:7" ht="24.75" customHeight="1" x14ac:dyDescent="0.2">
      <c r="B47" s="2"/>
    </row>
    <row r="48" spans="1:7" ht="24.75" customHeight="1" x14ac:dyDescent="0.2">
      <c r="B48" s="2"/>
    </row>
    <row r="49" spans="1:4" ht="24.75" customHeight="1" x14ac:dyDescent="0.25">
      <c r="A49" s="398" t="s">
        <v>335</v>
      </c>
      <c r="B49" s="398"/>
    </row>
    <row r="50" spans="1:4" ht="24.75" customHeight="1" x14ac:dyDescent="0.25">
      <c r="A50" s="398" t="s">
        <v>227</v>
      </c>
      <c r="B50" s="398"/>
    </row>
    <row r="51" spans="1:4" ht="24.75" customHeight="1" x14ac:dyDescent="0.25">
      <c r="A51" s="398" t="s">
        <v>476</v>
      </c>
      <c r="B51" s="398"/>
    </row>
    <row r="52" spans="1:4" ht="24.75" customHeight="1" x14ac:dyDescent="0.25">
      <c r="A52" s="399">
        <v>45169</v>
      </c>
      <c r="B52" s="399"/>
    </row>
    <row r="53" spans="1:4" ht="24.75" customHeight="1" thickBot="1" x14ac:dyDescent="0.25">
      <c r="B53" s="2"/>
    </row>
    <row r="54" spans="1:4" ht="24.75" customHeight="1" thickBot="1" x14ac:dyDescent="0.3">
      <c r="A54" s="30" t="s">
        <v>240</v>
      </c>
      <c r="B54" s="31" t="s">
        <v>212</v>
      </c>
    </row>
    <row r="55" spans="1:4" ht="24.75" customHeight="1" x14ac:dyDescent="0.2">
      <c r="A55" s="44" t="s">
        <v>825</v>
      </c>
      <c r="B55" s="159">
        <f>+B10</f>
        <v>311277.77</v>
      </c>
      <c r="D55" s="61"/>
    </row>
    <row r="56" spans="1:4" ht="24.75" customHeight="1" x14ac:dyDescent="0.25">
      <c r="A56" s="45" t="s">
        <v>224</v>
      </c>
      <c r="B56" s="160">
        <f>SUM(B55:B55)</f>
        <v>311277.77</v>
      </c>
    </row>
    <row r="57" spans="1:4" ht="6.75" customHeight="1" thickBot="1" x14ac:dyDescent="0.25">
      <c r="A57" s="53"/>
      <c r="B57" s="55"/>
      <c r="C57" s="7"/>
    </row>
    <row r="58" spans="1:4" ht="24.75" customHeight="1" x14ac:dyDescent="0.2">
      <c r="B58" s="4"/>
      <c r="D58" s="2"/>
    </row>
    <row r="59" spans="1:4" ht="24.75" customHeight="1" x14ac:dyDescent="0.2">
      <c r="B59" s="7"/>
      <c r="D59" s="2"/>
    </row>
    <row r="60" spans="1:4" ht="24.75" customHeight="1" x14ac:dyDescent="0.2">
      <c r="B60" s="7"/>
      <c r="D60" s="2"/>
    </row>
    <row r="61" spans="1:4" ht="24.75" customHeight="1" x14ac:dyDescent="0.2">
      <c r="B61" s="7"/>
    </row>
    <row r="62" spans="1:4" ht="24.75" customHeight="1" x14ac:dyDescent="0.25">
      <c r="A62" s="398" t="s">
        <v>335</v>
      </c>
      <c r="B62" s="398"/>
    </row>
    <row r="63" spans="1:4" ht="24.75" customHeight="1" x14ac:dyDescent="0.25">
      <c r="A63" s="398" t="s">
        <v>227</v>
      </c>
      <c r="B63" s="398"/>
    </row>
    <row r="64" spans="1:4" ht="24.75" customHeight="1" x14ac:dyDescent="0.25">
      <c r="A64" s="398" t="s">
        <v>355</v>
      </c>
      <c r="B64" s="398"/>
    </row>
    <row r="65" spans="1:2" ht="24.75" customHeight="1" x14ac:dyDescent="0.25">
      <c r="A65" s="399">
        <v>45169</v>
      </c>
      <c r="B65" s="399"/>
    </row>
    <row r="66" spans="1:2" ht="24.75" customHeight="1" thickBot="1" x14ac:dyDescent="0.25">
      <c r="B66" s="7"/>
    </row>
    <row r="67" spans="1:2" ht="24.75" customHeight="1" thickBot="1" x14ac:dyDescent="0.3">
      <c r="A67" s="30" t="s">
        <v>240</v>
      </c>
      <c r="B67" s="31" t="s">
        <v>212</v>
      </c>
    </row>
    <row r="68" spans="1:2" ht="24.75" customHeight="1" x14ac:dyDescent="0.2">
      <c r="A68" s="43" t="s">
        <v>473</v>
      </c>
      <c r="B68" s="162">
        <v>239700</v>
      </c>
    </row>
    <row r="69" spans="1:2" ht="24.75" customHeight="1" x14ac:dyDescent="0.25">
      <c r="A69" s="45" t="s">
        <v>224</v>
      </c>
      <c r="B69" s="160">
        <f>SUM(B68)</f>
        <v>239700</v>
      </c>
    </row>
    <row r="70" spans="1:2" ht="24.75" customHeight="1" thickBot="1" x14ac:dyDescent="0.25">
      <c r="A70" s="53"/>
      <c r="B70" s="161"/>
    </row>
    <row r="74" spans="1:2" ht="52.5" customHeight="1" x14ac:dyDescent="0.2">
      <c r="B74" s="88"/>
    </row>
    <row r="75" spans="1:2" ht="24.75" customHeight="1" x14ac:dyDescent="0.25">
      <c r="A75" s="9" t="s">
        <v>335</v>
      </c>
      <c r="B75" s="9"/>
    </row>
    <row r="76" spans="1:2" ht="24.75" customHeight="1" x14ac:dyDescent="0.25">
      <c r="A76" s="9" t="s">
        <v>227</v>
      </c>
      <c r="B76" s="9"/>
    </row>
    <row r="77" spans="1:2" ht="24.75" customHeight="1" x14ac:dyDescent="0.25">
      <c r="A77" s="9" t="s">
        <v>128</v>
      </c>
      <c r="B77" s="269"/>
    </row>
    <row r="78" spans="1:2" ht="24.75" customHeight="1" x14ac:dyDescent="0.25">
      <c r="A78" s="24">
        <v>45168</v>
      </c>
      <c r="B78" s="24"/>
    </row>
    <row r="79" spans="1:2" ht="24.75" customHeight="1" thickBot="1" x14ac:dyDescent="0.3">
      <c r="A79" s="47"/>
      <c r="B79" s="9"/>
    </row>
    <row r="80" spans="1:2" ht="24.75" customHeight="1" thickBot="1" x14ac:dyDescent="0.3">
      <c r="A80" s="30" t="s">
        <v>240</v>
      </c>
      <c r="B80" s="31" t="s">
        <v>212</v>
      </c>
    </row>
    <row r="81" spans="1:2" ht="24.75" customHeight="1" x14ac:dyDescent="0.2">
      <c r="A81" s="153" t="s">
        <v>442</v>
      </c>
      <c r="B81" s="380">
        <v>138900</v>
      </c>
    </row>
    <row r="82" spans="1:2" ht="24.75" customHeight="1" x14ac:dyDescent="0.2">
      <c r="A82" s="153" t="s">
        <v>826</v>
      </c>
      <c r="B82" s="380">
        <v>156955.34</v>
      </c>
    </row>
    <row r="83" spans="1:2" ht="24.75" customHeight="1" x14ac:dyDescent="0.2">
      <c r="A83" s="153" t="s">
        <v>827</v>
      </c>
      <c r="B83" s="380">
        <v>473770</v>
      </c>
    </row>
    <row r="84" spans="1:2" ht="24.75" customHeight="1" x14ac:dyDescent="0.2">
      <c r="A84" s="153" t="s">
        <v>827</v>
      </c>
      <c r="B84" s="380">
        <v>473770</v>
      </c>
    </row>
    <row r="85" spans="1:2" ht="24.75" customHeight="1" x14ac:dyDescent="0.25">
      <c r="A85" s="156" t="s">
        <v>441</v>
      </c>
      <c r="B85" s="163">
        <f>SUM(B81:B84)</f>
        <v>1243395.3399999999</v>
      </c>
    </row>
    <row r="86" spans="1:2" ht="24.75" customHeight="1" thickBot="1" x14ac:dyDescent="0.25">
      <c r="A86" s="53"/>
      <c r="B86" s="137"/>
    </row>
    <row r="87" spans="1:2" ht="24.75" customHeight="1" x14ac:dyDescent="0.2">
      <c r="B87" s="4">
        <f>+B16-B85</f>
        <v>0</v>
      </c>
    </row>
    <row r="88" spans="1:2" ht="24.75" customHeight="1" x14ac:dyDescent="0.2">
      <c r="B88" s="4"/>
    </row>
    <row r="91" spans="1:2" ht="24.75" customHeight="1" x14ac:dyDescent="0.25">
      <c r="A91" s="398" t="s">
        <v>335</v>
      </c>
      <c r="B91" s="398"/>
    </row>
    <row r="92" spans="1:2" ht="24.75" customHeight="1" x14ac:dyDescent="0.25">
      <c r="A92" s="398" t="s">
        <v>227</v>
      </c>
      <c r="B92" s="398"/>
    </row>
    <row r="93" spans="1:2" ht="24.75" customHeight="1" x14ac:dyDescent="0.25">
      <c r="A93" s="398" t="s">
        <v>274</v>
      </c>
      <c r="B93" s="398"/>
    </row>
    <row r="94" spans="1:2" ht="24.75" customHeight="1" x14ac:dyDescent="0.25">
      <c r="A94" s="399">
        <v>45169</v>
      </c>
      <c r="B94" s="399"/>
    </row>
    <row r="95" spans="1:2" ht="24.75" customHeight="1" thickBot="1" x14ac:dyDescent="0.3">
      <c r="A95" s="150"/>
      <c r="B95" s="150"/>
    </row>
    <row r="96" spans="1:2" ht="24.75" customHeight="1" thickBot="1" x14ac:dyDescent="0.3">
      <c r="A96" s="30" t="s">
        <v>240</v>
      </c>
      <c r="B96" s="31" t="s">
        <v>212</v>
      </c>
    </row>
    <row r="97" spans="1:4" ht="24.75" customHeight="1" x14ac:dyDescent="0.2">
      <c r="A97" s="158" t="s">
        <v>16</v>
      </c>
      <c r="B97" s="164">
        <f>+B15</f>
        <v>954719</v>
      </c>
    </row>
    <row r="98" spans="1:4" ht="24.75" customHeight="1" x14ac:dyDescent="0.25">
      <c r="A98" s="45" t="s">
        <v>224</v>
      </c>
      <c r="B98" s="160">
        <f>SUM(B97:B97)</f>
        <v>954719</v>
      </c>
      <c r="D98" s="151"/>
    </row>
    <row r="99" spans="1:4" ht="24.75" customHeight="1" thickBot="1" x14ac:dyDescent="0.25">
      <c r="A99" s="53"/>
      <c r="B99" s="55"/>
    </row>
    <row r="105" spans="1:4" ht="24.75" customHeight="1" x14ac:dyDescent="0.2">
      <c r="D105" s="2"/>
    </row>
    <row r="106" spans="1:4" ht="24.75" customHeight="1" x14ac:dyDescent="0.2">
      <c r="D106" s="2"/>
    </row>
    <row r="107" spans="1:4" ht="24.75" customHeight="1" x14ac:dyDescent="0.2">
      <c r="D107" s="2"/>
    </row>
  </sheetData>
  <mergeCells count="20">
    <mergeCell ref="A50:B50"/>
    <mergeCell ref="A31:B31"/>
    <mergeCell ref="A32:B32"/>
    <mergeCell ref="A33:B33"/>
    <mergeCell ref="A34:B34"/>
    <mergeCell ref="A3:B3"/>
    <mergeCell ref="A4:B4"/>
    <mergeCell ref="A5:B5"/>
    <mergeCell ref="A6:B6"/>
    <mergeCell ref="A49:B49"/>
    <mergeCell ref="A93:B93"/>
    <mergeCell ref="A94:B94"/>
    <mergeCell ref="A51:B51"/>
    <mergeCell ref="A52:B52"/>
    <mergeCell ref="A62:B62"/>
    <mergeCell ref="A63:B63"/>
    <mergeCell ref="A91:B91"/>
    <mergeCell ref="A92:B92"/>
    <mergeCell ref="A64:B64"/>
    <mergeCell ref="A65:B65"/>
  </mergeCells>
  <pageMargins left="0.70866141732283505" right="0.31496062992126" top="0.74803149606299202" bottom="0.74803149606299202" header="0.31496062992126" footer="0.31496062992126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M53"/>
  <sheetViews>
    <sheetView zoomScale="90" zoomScaleNormal="90" workbookViewId="0">
      <selection activeCell="A10" sqref="A10:E18"/>
    </sheetView>
  </sheetViews>
  <sheetFormatPr baseColWidth="10" defaultColWidth="9.140625" defaultRowHeight="15" x14ac:dyDescent="0.2"/>
  <cols>
    <col min="1" max="1" width="46.28515625" style="1" customWidth="1"/>
    <col min="2" max="2" width="8.7109375" style="1" customWidth="1"/>
    <col min="3" max="3" width="26" style="2" bestFit="1" customWidth="1"/>
    <col min="4" max="4" width="22.85546875" style="2" customWidth="1"/>
    <col min="5" max="5" width="21.28515625" style="2" bestFit="1" customWidth="1"/>
    <col min="6" max="6" width="15.140625" style="1" bestFit="1" customWidth="1"/>
    <col min="7" max="7" width="17.5703125" style="1" customWidth="1"/>
    <col min="8" max="8" width="21.140625" style="1" customWidth="1"/>
    <col min="9" max="9" width="19.140625" style="1" bestFit="1" customWidth="1"/>
    <col min="10" max="16384" width="9.140625" style="1"/>
  </cols>
  <sheetData>
    <row r="1" spans="1:13" ht="24.75" customHeight="1" x14ac:dyDescent="0.2">
      <c r="A1" s="187"/>
      <c r="B1" s="187"/>
      <c r="C1" s="188"/>
      <c r="D1" s="188"/>
      <c r="E1" s="188"/>
    </row>
    <row r="2" spans="1:13" x14ac:dyDescent="0.2">
      <c r="A2" s="187"/>
      <c r="B2" s="187"/>
      <c r="C2" s="188"/>
      <c r="D2" s="188"/>
      <c r="E2" s="188"/>
    </row>
    <row r="3" spans="1:13" x14ac:dyDescent="0.2">
      <c r="A3" s="187"/>
      <c r="B3" s="187"/>
      <c r="C3" s="188"/>
      <c r="D3" s="188"/>
      <c r="E3" s="188"/>
    </row>
    <row r="4" spans="1:13" x14ac:dyDescent="0.2">
      <c r="A4" s="187"/>
      <c r="B4" s="187"/>
      <c r="C4" s="188"/>
      <c r="D4" s="188"/>
      <c r="E4" s="188"/>
    </row>
    <row r="5" spans="1:13" x14ac:dyDescent="0.2">
      <c r="A5" s="187"/>
      <c r="B5" s="187"/>
      <c r="C5" s="188"/>
      <c r="D5" s="188"/>
      <c r="E5" s="188"/>
    </row>
    <row r="6" spans="1:13" s="342" customFormat="1" ht="20.25" customHeight="1" x14ac:dyDescent="0.25">
      <c r="A6" s="389" t="s">
        <v>2</v>
      </c>
      <c r="B6" s="389"/>
      <c r="C6" s="389"/>
      <c r="D6" s="389"/>
      <c r="E6" s="389"/>
      <c r="I6" s="367"/>
      <c r="J6" s="367"/>
      <c r="K6" s="367"/>
      <c r="L6" s="367"/>
      <c r="M6" s="367"/>
    </row>
    <row r="7" spans="1:13" s="342" customFormat="1" ht="17.45" customHeight="1" x14ac:dyDescent="0.25">
      <c r="A7" s="390" t="s">
        <v>10</v>
      </c>
      <c r="B7" s="390"/>
      <c r="C7" s="390"/>
      <c r="D7" s="390"/>
      <c r="E7" s="390"/>
      <c r="I7" s="368"/>
      <c r="J7" s="368"/>
      <c r="K7" s="368"/>
      <c r="L7" s="368"/>
      <c r="M7" s="368"/>
    </row>
    <row r="8" spans="1:13" s="342" customFormat="1" ht="17.45" customHeight="1" x14ac:dyDescent="0.25">
      <c r="A8" s="391" t="s">
        <v>816</v>
      </c>
      <c r="B8" s="391"/>
      <c r="C8" s="391"/>
      <c r="D8" s="391"/>
      <c r="E8" s="391"/>
      <c r="I8" s="369"/>
      <c r="J8" s="369"/>
      <c r="K8" s="369"/>
      <c r="L8" s="369"/>
      <c r="M8" s="369"/>
    </row>
    <row r="9" spans="1:13" s="342" customFormat="1" ht="17.45" customHeight="1" x14ac:dyDescent="0.25">
      <c r="A9" s="392" t="s">
        <v>242</v>
      </c>
      <c r="B9" s="392"/>
      <c r="C9" s="392"/>
      <c r="D9" s="392"/>
      <c r="E9" s="392"/>
    </row>
    <row r="10" spans="1:13" s="342" customFormat="1" ht="18" x14ac:dyDescent="0.25">
      <c r="A10" s="362"/>
      <c r="B10" s="362"/>
      <c r="C10" s="362"/>
      <c r="D10" s="362"/>
      <c r="E10" s="362"/>
      <c r="G10" s="344"/>
    </row>
    <row r="11" spans="1:13" s="342" customFormat="1" ht="18" x14ac:dyDescent="0.25">
      <c r="C11" s="370"/>
      <c r="D11" s="370"/>
      <c r="E11" s="370"/>
    </row>
    <row r="12" spans="1:13" s="364" customFormat="1" ht="38.450000000000003" customHeight="1" x14ac:dyDescent="0.2">
      <c r="B12" s="345" t="s">
        <v>100</v>
      </c>
      <c r="C12" s="345" t="s">
        <v>148</v>
      </c>
      <c r="D12" s="345" t="s">
        <v>149</v>
      </c>
      <c r="E12" s="345" t="s">
        <v>90</v>
      </c>
    </row>
    <row r="13" spans="1:13" ht="15.75" x14ac:dyDescent="0.25">
      <c r="A13" s="10" t="s">
        <v>144</v>
      </c>
      <c r="B13" s="10"/>
      <c r="C13" s="348"/>
      <c r="D13" s="348"/>
      <c r="E13" s="348"/>
    </row>
    <row r="14" spans="1:13" x14ac:dyDescent="0.2">
      <c r="A14" s="1" t="s">
        <v>165</v>
      </c>
      <c r="B14" s="14">
        <v>12</v>
      </c>
      <c r="C14" s="348">
        <f>+'A-RESULTADO (2)'!D13</f>
        <v>0</v>
      </c>
      <c r="D14" s="348">
        <v>0</v>
      </c>
      <c r="E14" s="348">
        <f>C14-D14</f>
        <v>0</v>
      </c>
    </row>
    <row r="15" spans="1:13" x14ac:dyDescent="0.2">
      <c r="A15" s="1" t="s">
        <v>166</v>
      </c>
      <c r="B15" s="14">
        <v>13</v>
      </c>
      <c r="C15" s="348">
        <f>+'A-RESULTADO (2)'!D17</f>
        <v>85342433.310000002</v>
      </c>
      <c r="D15" s="348">
        <v>73101233.309999987</v>
      </c>
      <c r="E15" s="348">
        <f>C15-D15</f>
        <v>12241200.000000015</v>
      </c>
      <c r="G15" s="348"/>
    </row>
    <row r="16" spans="1:13" x14ac:dyDescent="0.2">
      <c r="A16" s="1" t="s">
        <v>167</v>
      </c>
      <c r="B16" s="14">
        <v>14</v>
      </c>
      <c r="C16" s="353">
        <f>+'A-RESULTADO (2)'!D23</f>
        <v>570076.03</v>
      </c>
      <c r="D16" s="353">
        <v>206060.9</v>
      </c>
      <c r="E16" s="348">
        <f>C16-D16</f>
        <v>364015.13</v>
      </c>
      <c r="G16" s="6"/>
    </row>
    <row r="17" spans="1:8" ht="15.75" x14ac:dyDescent="0.25">
      <c r="A17" s="10" t="s">
        <v>168</v>
      </c>
      <c r="B17" s="10"/>
      <c r="C17" s="351">
        <f>SUM(C14:C16)</f>
        <v>85912509.340000004</v>
      </c>
      <c r="D17" s="351">
        <f>SUM(D14:D16)</f>
        <v>73307294.209999993</v>
      </c>
      <c r="E17" s="351">
        <f>SUM(E14:E16)</f>
        <v>12605215.130000016</v>
      </c>
      <c r="G17" s="6"/>
    </row>
    <row r="18" spans="1:8" x14ac:dyDescent="0.2">
      <c r="C18" s="348"/>
      <c r="D18" s="348"/>
      <c r="E18" s="348"/>
    </row>
    <row r="19" spans="1:8" x14ac:dyDescent="0.2">
      <c r="C19" s="348"/>
      <c r="D19" s="348"/>
      <c r="E19" s="348"/>
    </row>
    <row r="20" spans="1:8" ht="15.75" x14ac:dyDescent="0.25">
      <c r="A20" s="10" t="s">
        <v>169</v>
      </c>
      <c r="B20" s="10"/>
      <c r="C20" s="348"/>
      <c r="D20" s="348"/>
      <c r="E20" s="348"/>
    </row>
    <row r="21" spans="1:8" x14ac:dyDescent="0.2">
      <c r="A21" s="1" t="s">
        <v>145</v>
      </c>
      <c r="B21" s="14">
        <v>15</v>
      </c>
      <c r="C21" s="356">
        <f>+'A-RESULTADO (2)'!D50</f>
        <v>137399675.24000001</v>
      </c>
      <c r="D21" s="356">
        <v>118939530.74000002</v>
      </c>
      <c r="E21" s="348">
        <f>C21-D21</f>
        <v>18460144.499999985</v>
      </c>
      <c r="G21" s="177"/>
    </row>
    <row r="22" spans="1:8" x14ac:dyDescent="0.2">
      <c r="A22" s="1" t="s">
        <v>170</v>
      </c>
      <c r="B22" s="14">
        <v>16</v>
      </c>
      <c r="C22" s="356">
        <f>+'A-RESULTADO (2)'!D82</f>
        <v>187684382.32999998</v>
      </c>
      <c r="D22" s="356">
        <v>154272146.80000001</v>
      </c>
      <c r="E22" s="348">
        <f>C22-D22</f>
        <v>33412235.529999971</v>
      </c>
      <c r="G22" s="177"/>
    </row>
    <row r="23" spans="1:8" x14ac:dyDescent="0.2">
      <c r="A23" s="1" t="s">
        <v>171</v>
      </c>
      <c r="B23" s="14">
        <v>17</v>
      </c>
      <c r="C23" s="356">
        <f>+'A-RESULTADO (2)'!D105</f>
        <v>14959380.489999998</v>
      </c>
      <c r="D23" s="356">
        <v>13143552.59</v>
      </c>
      <c r="E23" s="348">
        <f>C23-D23</f>
        <v>1815827.8999999985</v>
      </c>
      <c r="G23" s="177"/>
    </row>
    <row r="24" spans="1:8" x14ac:dyDescent="0.2">
      <c r="A24" s="1" t="s">
        <v>172</v>
      </c>
      <c r="B24" s="14">
        <v>18</v>
      </c>
      <c r="C24" s="357">
        <f>+'A-RESULTADO (2)'!D119</f>
        <v>2720215943.0899997</v>
      </c>
      <c r="D24" s="357">
        <v>2713447548.29</v>
      </c>
      <c r="E24" s="348">
        <f>C24-D24</f>
        <v>6768394.7999997139</v>
      </c>
      <c r="G24" s="6"/>
    </row>
    <row r="25" spans="1:8" ht="15.75" x14ac:dyDescent="0.25">
      <c r="A25" s="10" t="s">
        <v>173</v>
      </c>
      <c r="B25" s="10"/>
      <c r="C25" s="351">
        <f>SUM(C21:C24)</f>
        <v>3060259381.1499996</v>
      </c>
      <c r="D25" s="351">
        <f>SUM(D21:D24)</f>
        <v>2999802778.4200001</v>
      </c>
      <c r="E25" s="351">
        <f>SUM(E21:E24)</f>
        <v>60456602.729999669</v>
      </c>
      <c r="G25" s="6"/>
      <c r="H25" s="6"/>
    </row>
    <row r="26" spans="1:8" x14ac:dyDescent="0.2">
      <c r="C26" s="348"/>
      <c r="D26" s="348"/>
      <c r="E26" s="348"/>
    </row>
    <row r="27" spans="1:8" ht="15.75" x14ac:dyDescent="0.25">
      <c r="A27" s="10" t="s">
        <v>174</v>
      </c>
      <c r="B27" s="10"/>
      <c r="C27" s="169">
        <f>+C17-C25</f>
        <v>-2974346871.8099995</v>
      </c>
      <c r="D27" s="169">
        <f>+D17-D25</f>
        <v>-2926495484.21</v>
      </c>
      <c r="E27" s="169">
        <f>+C27-D27</f>
        <v>-47851387.599999428</v>
      </c>
    </row>
    <row r="28" spans="1:8" x14ac:dyDescent="0.2">
      <c r="C28" s="348"/>
      <c r="D28" s="348"/>
      <c r="E28" s="348"/>
      <c r="F28" s="6"/>
    </row>
    <row r="29" spans="1:8" ht="15.75" x14ac:dyDescent="0.25">
      <c r="A29" s="1" t="s">
        <v>175</v>
      </c>
      <c r="B29" s="10"/>
      <c r="C29" s="352"/>
      <c r="D29" s="352"/>
      <c r="E29" s="352"/>
    </row>
    <row r="30" spans="1:8" x14ac:dyDescent="0.2">
      <c r="A30" s="1" t="s">
        <v>443</v>
      </c>
      <c r="B30" s="14">
        <v>19</v>
      </c>
      <c r="C30" s="352">
        <f>+'A-RESULTADO (2)'!D124</f>
        <v>29884623.02</v>
      </c>
      <c r="D30" s="352">
        <v>29865098.030000001</v>
      </c>
      <c r="E30" s="352">
        <f>C30-D30</f>
        <v>19524.989999998361</v>
      </c>
    </row>
    <row r="31" spans="1:8" x14ac:dyDescent="0.2">
      <c r="A31" s="1" t="s">
        <v>444</v>
      </c>
      <c r="B31" s="14"/>
      <c r="C31" s="353">
        <f>+'A-RESULTADO (2)'!D123</f>
        <v>-24658975.149999999</v>
      </c>
      <c r="D31" s="353">
        <v>-24658975.149999999</v>
      </c>
      <c r="E31" s="353">
        <f>+C31-D31</f>
        <v>0</v>
      </c>
      <c r="G31" s="6"/>
    </row>
    <row r="32" spans="1:8" ht="15.75" x14ac:dyDescent="0.25">
      <c r="A32" s="10" t="s">
        <v>292</v>
      </c>
      <c r="B32" s="10"/>
      <c r="C32" s="169">
        <f>SUM(C30:C31)</f>
        <v>5225647.870000001</v>
      </c>
      <c r="D32" s="169">
        <f>SUM(D30:D31)</f>
        <v>5206122.8800000027</v>
      </c>
      <c r="E32" s="169">
        <f>SUM(E30:E31)</f>
        <v>19524.989999998361</v>
      </c>
    </row>
    <row r="33" spans="1:5" x14ac:dyDescent="0.2">
      <c r="C33" s="348"/>
      <c r="D33" s="348"/>
      <c r="E33" s="348"/>
    </row>
    <row r="34" spans="1:5" x14ac:dyDescent="0.2">
      <c r="C34" s="348"/>
      <c r="D34" s="348"/>
      <c r="E34" s="348"/>
    </row>
    <row r="35" spans="1:5" x14ac:dyDescent="0.2">
      <c r="C35" s="348"/>
      <c r="D35" s="348"/>
      <c r="E35" s="348"/>
    </row>
    <row r="36" spans="1:5" ht="16.5" thickBot="1" x14ac:dyDescent="0.3">
      <c r="A36" s="10" t="s">
        <v>331</v>
      </c>
      <c r="B36" s="358"/>
      <c r="C36" s="354">
        <f>C27+C32</f>
        <v>-2969121223.9399996</v>
      </c>
      <c r="D36" s="354">
        <f>D27+D32</f>
        <v>-2921289361.3299999</v>
      </c>
      <c r="E36" s="354">
        <f>E27+E32</f>
        <v>-47831862.609999433</v>
      </c>
    </row>
    <row r="37" spans="1:5" ht="15.75" thickTop="1" x14ac:dyDescent="0.2">
      <c r="C37" s="355">
        <f>C27-C36+C32</f>
        <v>1.1548399925231934E-7</v>
      </c>
      <c r="D37" s="355">
        <f>D27-D36+D32</f>
        <v>-1.1175870895385742E-7</v>
      </c>
      <c r="E37" s="355">
        <f>E27-E36+E32</f>
        <v>3.7252902984619141E-9</v>
      </c>
    </row>
    <row r="38" spans="1:5" x14ac:dyDescent="0.2">
      <c r="C38" s="348"/>
      <c r="D38" s="348"/>
      <c r="E38" s="355"/>
    </row>
    <row r="39" spans="1:5" x14ac:dyDescent="0.2">
      <c r="C39" s="355"/>
      <c r="D39" s="348"/>
      <c r="E39" s="355"/>
    </row>
    <row r="40" spans="1:5" x14ac:dyDescent="0.2">
      <c r="A40" s="187"/>
      <c r="B40" s="187"/>
      <c r="C40" s="188"/>
      <c r="D40" s="188"/>
      <c r="E40" s="189"/>
    </row>
    <row r="41" spans="1:5" x14ac:dyDescent="0.2">
      <c r="A41" s="187"/>
      <c r="B41" s="187"/>
      <c r="C41" s="188"/>
      <c r="D41" s="188"/>
      <c r="E41" s="188"/>
    </row>
    <row r="42" spans="1:5" x14ac:dyDescent="0.2">
      <c r="A42" s="190"/>
      <c r="B42" s="190"/>
      <c r="C42" s="188"/>
      <c r="D42" s="188"/>
      <c r="E42" s="188"/>
    </row>
    <row r="43" spans="1:5" x14ac:dyDescent="0.2">
      <c r="A43" s="188"/>
      <c r="B43" s="188"/>
      <c r="C43" s="188"/>
      <c r="D43" s="188"/>
      <c r="E43" s="188"/>
    </row>
    <row r="44" spans="1:5" x14ac:dyDescent="0.2">
      <c r="A44" s="188"/>
      <c r="B44" s="188"/>
      <c r="C44" s="188"/>
      <c r="D44" s="188"/>
      <c r="E44" s="188"/>
    </row>
    <row r="45" spans="1:5" x14ac:dyDescent="0.2">
      <c r="A45" s="191" t="s">
        <v>328</v>
      </c>
      <c r="B45" s="188"/>
      <c r="C45" s="188"/>
      <c r="D45" s="395" t="s">
        <v>11</v>
      </c>
      <c r="E45" s="395"/>
    </row>
    <row r="46" spans="1:5" x14ac:dyDescent="0.2">
      <c r="A46" s="191" t="str">
        <f>+'Estado Situacion'!A54</f>
        <v>Encargado División de Contabilidad</v>
      </c>
      <c r="B46" s="188"/>
      <c r="C46" s="188"/>
      <c r="D46" s="395" t="s">
        <v>12</v>
      </c>
      <c r="E46" s="395"/>
    </row>
    <row r="47" spans="1:5" x14ac:dyDescent="0.2">
      <c r="A47" s="190"/>
      <c r="B47" s="190"/>
      <c r="C47" s="188"/>
      <c r="D47" s="188"/>
      <c r="E47" s="188"/>
    </row>
    <row r="48" spans="1:5" x14ac:dyDescent="0.2">
      <c r="A48" s="190"/>
      <c r="B48" s="190"/>
      <c r="C48" s="188"/>
      <c r="D48" s="188"/>
      <c r="E48" s="188"/>
    </row>
    <row r="49" spans="1:5" x14ac:dyDescent="0.2">
      <c r="A49" s="187"/>
      <c r="B49" s="187"/>
      <c r="C49" s="188"/>
      <c r="D49" s="188"/>
      <c r="E49" s="188"/>
    </row>
    <row r="50" spans="1:5" x14ac:dyDescent="0.2">
      <c r="A50" s="187"/>
      <c r="B50" s="187"/>
      <c r="C50" s="188"/>
      <c r="D50" s="188"/>
      <c r="E50" s="188"/>
    </row>
    <row r="51" spans="1:5" x14ac:dyDescent="0.2">
      <c r="A51" s="394" t="s">
        <v>177</v>
      </c>
      <c r="B51" s="394"/>
      <c r="C51" s="394"/>
      <c r="D51" s="394"/>
      <c r="E51" s="394"/>
    </row>
    <row r="52" spans="1:5" x14ac:dyDescent="0.2">
      <c r="A52" s="394" t="s">
        <v>178</v>
      </c>
      <c r="B52" s="394"/>
      <c r="C52" s="394"/>
      <c r="D52" s="394"/>
      <c r="E52" s="394"/>
    </row>
    <row r="53" spans="1:5" x14ac:dyDescent="0.2">
      <c r="A53" s="187"/>
      <c r="B53" s="187"/>
      <c r="C53" s="188"/>
      <c r="D53" s="188"/>
      <c r="E53" s="188"/>
    </row>
  </sheetData>
  <mergeCells count="8">
    <mergeCell ref="A51:E51"/>
    <mergeCell ref="A52:E52"/>
    <mergeCell ref="A6:E6"/>
    <mergeCell ref="A7:E7"/>
    <mergeCell ref="A8:E8"/>
    <mergeCell ref="A9:E9"/>
    <mergeCell ref="D45:E45"/>
    <mergeCell ref="D46:E46"/>
  </mergeCells>
  <phoneticPr fontId="3" type="noConversion"/>
  <pageMargins left="0.82" right="0.6" top="0.43" bottom="1" header="0" footer="0"/>
  <pageSetup scale="73" orientation="portrait" horizontalDpi="4294967293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view="pageBreakPreview" topLeftCell="A78" zoomScaleNormal="100" zoomScaleSheetLayoutView="100" workbookViewId="0">
      <selection activeCell="C15" sqref="C15"/>
    </sheetView>
  </sheetViews>
  <sheetFormatPr baseColWidth="10" defaultColWidth="9.140625" defaultRowHeight="24.75" customHeight="1" x14ac:dyDescent="0.2"/>
  <cols>
    <col min="1" max="1" width="58" style="1" bestFit="1" customWidth="1"/>
    <col min="2" max="2" width="21.5703125" style="1" customWidth="1"/>
    <col min="3" max="3" width="16.42578125" style="1" customWidth="1"/>
    <col min="4" max="4" width="49.7109375" style="1" customWidth="1"/>
    <col min="5" max="5" width="17.42578125" style="1" bestFit="1" customWidth="1"/>
    <col min="6" max="16384" width="9.140625" style="1"/>
  </cols>
  <sheetData>
    <row r="1" spans="1:4" ht="24.75" customHeight="1" x14ac:dyDescent="0.2">
      <c r="B1" s="2"/>
      <c r="C1" s="2"/>
      <c r="D1" s="2"/>
    </row>
    <row r="2" spans="1:4" ht="24.75" customHeight="1" x14ac:dyDescent="0.2">
      <c r="B2" s="2"/>
      <c r="C2" s="2"/>
      <c r="D2" s="2"/>
    </row>
    <row r="3" spans="1:4" ht="24.75" customHeight="1" x14ac:dyDescent="0.2">
      <c r="B3" s="2"/>
      <c r="C3" s="2"/>
      <c r="D3" s="2"/>
    </row>
    <row r="4" spans="1:4" ht="24.75" customHeight="1" x14ac:dyDescent="0.25">
      <c r="A4" s="398" t="s">
        <v>239</v>
      </c>
      <c r="B4" s="398"/>
      <c r="C4" s="2"/>
      <c r="D4" s="2"/>
    </row>
    <row r="5" spans="1:4" ht="24.75" customHeight="1" x14ac:dyDescent="0.25">
      <c r="A5" s="398" t="s">
        <v>227</v>
      </c>
      <c r="B5" s="398"/>
      <c r="C5" s="2"/>
      <c r="D5" s="2"/>
    </row>
    <row r="6" spans="1:4" ht="24.75" customHeight="1" x14ac:dyDescent="0.25">
      <c r="A6" s="398" t="s">
        <v>392</v>
      </c>
      <c r="B6" s="398"/>
      <c r="C6" s="2"/>
      <c r="D6" s="2"/>
    </row>
    <row r="7" spans="1:4" ht="24.75" customHeight="1" x14ac:dyDescent="0.25">
      <c r="A7" s="399">
        <v>45169</v>
      </c>
      <c r="B7" s="399"/>
      <c r="C7" s="2"/>
      <c r="D7" s="2"/>
    </row>
    <row r="8" spans="1:4" ht="24.75" customHeight="1" thickBot="1" x14ac:dyDescent="0.3">
      <c r="A8" s="47"/>
      <c r="B8" s="9"/>
      <c r="C8" s="2"/>
      <c r="D8" s="2"/>
    </row>
    <row r="9" spans="1:4" ht="24.75" customHeight="1" thickBot="1" x14ac:dyDescent="0.3">
      <c r="A9" s="30" t="s">
        <v>240</v>
      </c>
      <c r="B9" s="31" t="s">
        <v>212</v>
      </c>
      <c r="C9" s="2"/>
      <c r="D9" s="2"/>
    </row>
    <row r="10" spans="1:4" ht="24.75" customHeight="1" x14ac:dyDescent="0.25">
      <c r="A10" s="43" t="s">
        <v>393</v>
      </c>
      <c r="B10" s="259">
        <v>521220.67</v>
      </c>
      <c r="C10" s="2"/>
      <c r="D10" s="382"/>
    </row>
    <row r="11" spans="1:4" ht="24.75" customHeight="1" x14ac:dyDescent="0.25">
      <c r="A11" s="44" t="s">
        <v>394</v>
      </c>
      <c r="B11" s="192">
        <v>9490561.1199999992</v>
      </c>
      <c r="C11" s="2"/>
      <c r="D11" s="382"/>
    </row>
    <row r="12" spans="1:4" ht="24.75" hidden="1" customHeight="1" x14ac:dyDescent="0.25">
      <c r="A12" s="44" t="s">
        <v>395</v>
      </c>
      <c r="B12" s="192">
        <v>0</v>
      </c>
      <c r="C12" s="2"/>
      <c r="D12" s="382"/>
    </row>
    <row r="13" spans="1:4" ht="24.75" customHeight="1" x14ac:dyDescent="0.25">
      <c r="A13" s="44" t="s">
        <v>396</v>
      </c>
      <c r="B13" s="192">
        <v>3840319.21</v>
      </c>
      <c r="C13" s="2"/>
      <c r="D13" s="382"/>
    </row>
    <row r="14" spans="1:4" ht="24.75" customHeight="1" x14ac:dyDescent="0.25">
      <c r="A14" s="44" t="s">
        <v>397</v>
      </c>
      <c r="B14" s="192">
        <v>6011708.1399999997</v>
      </c>
      <c r="C14" s="2"/>
      <c r="D14" s="382"/>
    </row>
    <row r="15" spans="1:4" ht="24.75" customHeight="1" x14ac:dyDescent="0.25">
      <c r="A15" s="44" t="s">
        <v>398</v>
      </c>
      <c r="B15" s="192">
        <v>289722.56</v>
      </c>
      <c r="C15" s="2"/>
      <c r="D15" s="382"/>
    </row>
    <row r="16" spans="1:4" ht="24.75" customHeight="1" x14ac:dyDescent="0.25">
      <c r="A16" s="44" t="s">
        <v>399</v>
      </c>
      <c r="B16" s="192">
        <v>3396342.29</v>
      </c>
      <c r="C16" s="2"/>
      <c r="D16" s="382"/>
    </row>
    <row r="17" spans="1:4" ht="24.75" customHeight="1" x14ac:dyDescent="0.25">
      <c r="A17" s="44" t="s">
        <v>400</v>
      </c>
      <c r="B17" s="192">
        <v>197306.53</v>
      </c>
      <c r="C17" s="2"/>
      <c r="D17" s="382"/>
    </row>
    <row r="18" spans="1:4" ht="24.75" customHeight="1" x14ac:dyDescent="0.25">
      <c r="A18" s="44" t="s">
        <v>401</v>
      </c>
      <c r="B18" s="192">
        <v>2702.54</v>
      </c>
      <c r="C18" s="2"/>
      <c r="D18" s="382"/>
    </row>
    <row r="19" spans="1:4" ht="24.75" customHeight="1" x14ac:dyDescent="0.35">
      <c r="A19" s="44" t="s">
        <v>402</v>
      </c>
      <c r="B19" s="193">
        <v>27025.49</v>
      </c>
      <c r="C19" s="2"/>
      <c r="D19" s="382"/>
    </row>
    <row r="20" spans="1:4" ht="24.75" customHeight="1" x14ac:dyDescent="0.4">
      <c r="A20" s="382"/>
      <c r="B20" s="42">
        <f>SUM(B10:B19)</f>
        <v>23776908.549999997</v>
      </c>
      <c r="C20" s="2"/>
      <c r="D20" s="382"/>
    </row>
    <row r="21" spans="1:4" ht="24.75" customHeight="1" thickBot="1" x14ac:dyDescent="0.3">
      <c r="A21" s="381"/>
      <c r="B21" s="55"/>
      <c r="C21" s="2"/>
      <c r="D21" s="382"/>
    </row>
    <row r="22" spans="1:4" ht="78.75" customHeight="1" x14ac:dyDescent="0.2">
      <c r="B22" s="2"/>
      <c r="C22" s="2"/>
      <c r="D22" s="2"/>
    </row>
    <row r="23" spans="1:4" ht="24.75" customHeight="1" x14ac:dyDescent="0.2">
      <c r="A23" s="294" t="s">
        <v>398</v>
      </c>
      <c r="B23" s="295">
        <v>1060693.67</v>
      </c>
      <c r="C23" s="2"/>
      <c r="D23" s="2"/>
    </row>
    <row r="24" spans="1:4" ht="24.75" customHeight="1" x14ac:dyDescent="0.2">
      <c r="A24" s="294" t="s">
        <v>399</v>
      </c>
      <c r="B24" s="295">
        <v>41752.74</v>
      </c>
      <c r="C24" s="2"/>
      <c r="D24" s="2"/>
    </row>
    <row r="25" spans="1:4" ht="24.75" customHeight="1" thickBot="1" x14ac:dyDescent="0.25">
      <c r="A25" s="251" t="s">
        <v>568</v>
      </c>
      <c r="B25" s="296">
        <f>SUM(B23:B24)</f>
        <v>1102446.4099999999</v>
      </c>
      <c r="C25" s="2"/>
      <c r="D25" s="2"/>
    </row>
    <row r="26" spans="1:4" ht="7.5" customHeight="1" x14ac:dyDescent="0.2">
      <c r="B26" s="2"/>
      <c r="C26" s="2"/>
      <c r="D26" s="2"/>
    </row>
    <row r="27" spans="1:4" ht="24.75" customHeight="1" x14ac:dyDescent="0.2">
      <c r="B27" s="2"/>
      <c r="C27" s="2"/>
      <c r="D27" s="2"/>
    </row>
    <row r="28" spans="1:4" ht="24.75" customHeight="1" x14ac:dyDescent="0.2">
      <c r="B28" s="2"/>
      <c r="C28" s="2"/>
      <c r="D28" s="2"/>
    </row>
    <row r="29" spans="1:4" ht="24.75" customHeight="1" x14ac:dyDescent="0.2">
      <c r="B29" s="194"/>
      <c r="C29" s="2"/>
      <c r="D29" s="2"/>
    </row>
    <row r="30" spans="1:4" ht="24.75" customHeight="1" x14ac:dyDescent="0.25">
      <c r="A30" s="10"/>
      <c r="B30" s="10"/>
      <c r="C30" s="10"/>
      <c r="D30" s="10"/>
    </row>
    <row r="31" spans="1:4" ht="24.75" customHeight="1" x14ac:dyDescent="0.25">
      <c r="A31" s="398" t="s">
        <v>239</v>
      </c>
      <c r="B31" s="398"/>
    </row>
    <row r="32" spans="1:4" ht="24.75" customHeight="1" x14ac:dyDescent="0.25">
      <c r="A32" s="398" t="s">
        <v>227</v>
      </c>
      <c r="B32" s="398"/>
    </row>
    <row r="33" spans="1:2" ht="24.75" customHeight="1" x14ac:dyDescent="0.25">
      <c r="A33" s="398" t="s">
        <v>283</v>
      </c>
      <c r="B33" s="398"/>
    </row>
    <row r="34" spans="1:2" ht="24.75" customHeight="1" x14ac:dyDescent="0.25">
      <c r="A34" s="399">
        <v>45169</v>
      </c>
      <c r="B34" s="399"/>
    </row>
    <row r="35" spans="1:2" ht="24.75" customHeight="1" thickBot="1" x14ac:dyDescent="0.3">
      <c r="A35" s="47"/>
      <c r="B35" s="9"/>
    </row>
    <row r="36" spans="1:2" ht="24.75" customHeight="1" thickBot="1" x14ac:dyDescent="0.3">
      <c r="A36" s="30" t="s">
        <v>240</v>
      </c>
      <c r="B36" s="31" t="s">
        <v>212</v>
      </c>
    </row>
    <row r="37" spans="1:2" ht="24.75" customHeight="1" x14ac:dyDescent="0.2">
      <c r="A37" s="43" t="s">
        <v>565</v>
      </c>
      <c r="B37" s="40">
        <f>56680+7600</f>
        <v>64280</v>
      </c>
    </row>
    <row r="38" spans="1:2" ht="24.75" customHeight="1" x14ac:dyDescent="0.2">
      <c r="A38" s="43" t="s">
        <v>566</v>
      </c>
      <c r="B38" s="40">
        <v>42725.67</v>
      </c>
    </row>
    <row r="39" spans="1:2" ht="24.75" customHeight="1" x14ac:dyDescent="0.2">
      <c r="A39" s="43" t="s">
        <v>567</v>
      </c>
      <c r="B39" s="40">
        <v>414215</v>
      </c>
    </row>
    <row r="40" spans="1:2" ht="24.75" customHeight="1" x14ac:dyDescent="0.4">
      <c r="A40" s="44"/>
      <c r="B40" s="42">
        <f>SUM(B37:B39)</f>
        <v>521220.67</v>
      </c>
    </row>
    <row r="41" spans="1:2" ht="24.75" customHeight="1" thickBot="1" x14ac:dyDescent="0.25">
      <c r="A41" s="53"/>
      <c r="B41" s="55"/>
    </row>
    <row r="42" spans="1:2" ht="24.75" customHeight="1" x14ac:dyDescent="0.2">
      <c r="B42" s="2">
        <f>+B10-B40</f>
        <v>0</v>
      </c>
    </row>
    <row r="43" spans="1:2" ht="24.75" customHeight="1" x14ac:dyDescent="0.2">
      <c r="B43" s="194"/>
    </row>
    <row r="44" spans="1:2" ht="24.75" customHeight="1" x14ac:dyDescent="0.25">
      <c r="A44" s="10"/>
      <c r="B44" s="10"/>
    </row>
    <row r="45" spans="1:2" ht="24.75" customHeight="1" x14ac:dyDescent="0.25">
      <c r="A45" s="398" t="s">
        <v>239</v>
      </c>
      <c r="B45" s="398"/>
    </row>
    <row r="46" spans="1:2" ht="24.75" customHeight="1" x14ac:dyDescent="0.25">
      <c r="A46" s="398" t="s">
        <v>227</v>
      </c>
      <c r="B46" s="398"/>
    </row>
    <row r="47" spans="1:2" ht="24.75" customHeight="1" x14ac:dyDescent="0.25">
      <c r="A47" s="398" t="s">
        <v>401</v>
      </c>
      <c r="B47" s="398"/>
    </row>
    <row r="48" spans="1:2" ht="24.75" customHeight="1" x14ac:dyDescent="0.25">
      <c r="A48" s="399">
        <v>45169</v>
      </c>
      <c r="B48" s="399"/>
    </row>
    <row r="49" spans="1:2" ht="24.75" customHeight="1" thickBot="1" x14ac:dyDescent="0.3">
      <c r="A49" s="47"/>
      <c r="B49" s="9"/>
    </row>
    <row r="50" spans="1:2" ht="24.75" customHeight="1" thickBot="1" x14ac:dyDescent="0.3">
      <c r="A50" s="30" t="s">
        <v>240</v>
      </c>
      <c r="B50" s="31" t="s">
        <v>212</v>
      </c>
    </row>
    <row r="51" spans="1:2" ht="24.75" customHeight="1" x14ac:dyDescent="0.2">
      <c r="A51" s="383" t="s">
        <v>19</v>
      </c>
      <c r="B51" s="40">
        <v>722.49</v>
      </c>
    </row>
    <row r="52" spans="1:2" ht="24.75" customHeight="1" x14ac:dyDescent="0.2">
      <c r="A52" s="383" t="s">
        <v>20</v>
      </c>
      <c r="B52" s="40">
        <v>736.99</v>
      </c>
    </row>
    <row r="53" spans="1:2" ht="24.75" customHeight="1" x14ac:dyDescent="0.2">
      <c r="A53" s="383" t="s">
        <v>54</v>
      </c>
      <c r="B53" s="40">
        <v>1243.06</v>
      </c>
    </row>
    <row r="54" spans="1:2" ht="24.75" customHeight="1" x14ac:dyDescent="0.4">
      <c r="A54" s="44"/>
      <c r="B54" s="42">
        <f>SUM(B51:B53)</f>
        <v>2702.54</v>
      </c>
    </row>
    <row r="55" spans="1:2" ht="24.75" customHeight="1" thickBot="1" x14ac:dyDescent="0.25">
      <c r="A55" s="53"/>
      <c r="B55" s="55"/>
    </row>
    <row r="56" spans="1:2" ht="24.75" customHeight="1" x14ac:dyDescent="0.2">
      <c r="B56" s="2"/>
    </row>
    <row r="57" spans="1:2" ht="24.75" customHeight="1" x14ac:dyDescent="0.2">
      <c r="B57" s="194"/>
    </row>
    <row r="58" spans="1:2" ht="24.75" customHeight="1" x14ac:dyDescent="0.25">
      <c r="A58" s="10"/>
      <c r="B58" s="10"/>
    </row>
    <row r="59" spans="1:2" ht="24.75" customHeight="1" x14ac:dyDescent="0.25">
      <c r="A59" s="398" t="s">
        <v>239</v>
      </c>
      <c r="B59" s="398"/>
    </row>
    <row r="60" spans="1:2" ht="24.75" customHeight="1" x14ac:dyDescent="0.25">
      <c r="A60" s="398" t="s">
        <v>227</v>
      </c>
      <c r="B60" s="398"/>
    </row>
    <row r="61" spans="1:2" ht="24.75" customHeight="1" x14ac:dyDescent="0.25">
      <c r="A61" s="398" t="s">
        <v>402</v>
      </c>
      <c r="B61" s="398"/>
    </row>
    <row r="62" spans="1:2" ht="24.75" customHeight="1" x14ac:dyDescent="0.25">
      <c r="A62" s="399">
        <v>45169</v>
      </c>
      <c r="B62" s="399"/>
    </row>
    <row r="63" spans="1:2" ht="24.75" customHeight="1" thickBot="1" x14ac:dyDescent="0.3">
      <c r="A63" s="47"/>
      <c r="B63" s="9"/>
    </row>
    <row r="64" spans="1:2" ht="24.75" customHeight="1" thickBot="1" x14ac:dyDescent="0.3">
      <c r="A64" s="30" t="s">
        <v>240</v>
      </c>
      <c r="B64" s="31" t="s">
        <v>212</v>
      </c>
    </row>
    <row r="65" spans="1:2" ht="24.75" customHeight="1" x14ac:dyDescent="0.2">
      <c r="A65" s="383" t="s">
        <v>19</v>
      </c>
      <c r="B65" s="40">
        <v>7224.95</v>
      </c>
    </row>
    <row r="66" spans="1:2" ht="24.75" customHeight="1" x14ac:dyDescent="0.2">
      <c r="A66" s="383" t="s">
        <v>20</v>
      </c>
      <c r="B66" s="40">
        <v>7369.94</v>
      </c>
    </row>
    <row r="67" spans="1:2" ht="24.75" customHeight="1" x14ac:dyDescent="0.2">
      <c r="A67" s="383" t="s">
        <v>54</v>
      </c>
      <c r="B67" s="40">
        <v>12430.6</v>
      </c>
    </row>
    <row r="68" spans="1:2" ht="24.75" customHeight="1" x14ac:dyDescent="0.4">
      <c r="A68" s="44"/>
      <c r="B68" s="42">
        <f>SUM(B65:B67)</f>
        <v>27025.489999999998</v>
      </c>
    </row>
    <row r="69" spans="1:2" ht="24.75" customHeight="1" x14ac:dyDescent="0.4">
      <c r="A69" s="384"/>
      <c r="B69" s="385" t="s">
        <v>362</v>
      </c>
    </row>
    <row r="70" spans="1:2" ht="24.75" customHeight="1" x14ac:dyDescent="0.2">
      <c r="B70" s="194"/>
    </row>
    <row r="71" spans="1:2" ht="24.75" customHeight="1" x14ac:dyDescent="0.25">
      <c r="A71" s="10"/>
      <c r="B71" s="10"/>
    </row>
    <row r="72" spans="1:2" ht="24.75" customHeight="1" x14ac:dyDescent="0.25">
      <c r="A72" s="398" t="s">
        <v>239</v>
      </c>
      <c r="B72" s="398"/>
    </row>
    <row r="73" spans="1:2" ht="24.75" customHeight="1" x14ac:dyDescent="0.25">
      <c r="A73" s="398" t="s">
        <v>227</v>
      </c>
      <c r="B73" s="398"/>
    </row>
    <row r="74" spans="1:2" ht="24.75" customHeight="1" x14ac:dyDescent="0.25">
      <c r="A74" s="398" t="s">
        <v>830</v>
      </c>
      <c r="B74" s="398"/>
    </row>
    <row r="75" spans="1:2" ht="24.75" customHeight="1" x14ac:dyDescent="0.25">
      <c r="A75" s="399">
        <v>45169</v>
      </c>
      <c r="B75" s="399"/>
    </row>
    <row r="76" spans="1:2" ht="24.75" customHeight="1" thickBot="1" x14ac:dyDescent="0.3">
      <c r="A76" s="47"/>
      <c r="B76" s="9"/>
    </row>
    <row r="77" spans="1:2" ht="24.75" customHeight="1" thickBot="1" x14ac:dyDescent="0.3">
      <c r="A77" s="30" t="s">
        <v>240</v>
      </c>
      <c r="B77" s="31" t="s">
        <v>212</v>
      </c>
    </row>
    <row r="78" spans="1:2" ht="24.75" customHeight="1" x14ac:dyDescent="0.25">
      <c r="A78" s="384" t="s">
        <v>831</v>
      </c>
      <c r="B78" s="386">
        <v>6561</v>
      </c>
    </row>
    <row r="79" spans="1:2" ht="24.75" customHeight="1" x14ac:dyDescent="0.25">
      <c r="A79" s="384" t="s">
        <v>442</v>
      </c>
      <c r="B79" s="386">
        <v>21188.13</v>
      </c>
    </row>
    <row r="80" spans="1:2" ht="24.75" customHeight="1" x14ac:dyDescent="0.25">
      <c r="A80" s="384" t="s">
        <v>832</v>
      </c>
      <c r="B80" s="386">
        <v>27540</v>
      </c>
    </row>
    <row r="81" spans="1:2" ht="24.75" customHeight="1" x14ac:dyDescent="0.25">
      <c r="A81" s="384" t="s">
        <v>833</v>
      </c>
      <c r="B81" s="386">
        <v>4207.57</v>
      </c>
    </row>
    <row r="82" spans="1:2" ht="24.75" customHeight="1" x14ac:dyDescent="0.25">
      <c r="A82" s="384" t="s">
        <v>834</v>
      </c>
      <c r="B82" s="386">
        <v>837</v>
      </c>
    </row>
    <row r="83" spans="1:2" ht="24.75" customHeight="1" x14ac:dyDescent="0.25">
      <c r="A83" s="384" t="s">
        <v>834</v>
      </c>
      <c r="B83" s="386">
        <v>1026</v>
      </c>
    </row>
    <row r="84" spans="1:2" ht="24.75" customHeight="1" x14ac:dyDescent="0.25">
      <c r="A84" s="384" t="s">
        <v>826</v>
      </c>
      <c r="B84" s="386">
        <v>23942.34</v>
      </c>
    </row>
    <row r="85" spans="1:2" ht="24.75" customHeight="1" x14ac:dyDescent="0.25">
      <c r="A85" s="384" t="s">
        <v>835</v>
      </c>
      <c r="B85" s="386">
        <v>21690</v>
      </c>
    </row>
    <row r="86" spans="1:2" ht="24.75" customHeight="1" x14ac:dyDescent="0.25">
      <c r="A86" s="384" t="s">
        <v>19</v>
      </c>
      <c r="B86" s="386">
        <v>13004.9</v>
      </c>
    </row>
    <row r="87" spans="1:2" ht="24.75" customHeight="1" x14ac:dyDescent="0.25">
      <c r="A87" s="384" t="s">
        <v>836</v>
      </c>
      <c r="B87" s="386">
        <v>53340.97</v>
      </c>
    </row>
    <row r="88" spans="1:2" ht="24.75" customHeight="1" x14ac:dyDescent="0.25">
      <c r="A88" s="384" t="s">
        <v>837</v>
      </c>
      <c r="B88" s="386">
        <v>2754</v>
      </c>
    </row>
    <row r="89" spans="1:2" ht="24.75" customHeight="1" x14ac:dyDescent="0.25">
      <c r="A89" s="384" t="s">
        <v>20</v>
      </c>
      <c r="B89" s="386">
        <v>13265.89</v>
      </c>
    </row>
    <row r="90" spans="1:2" ht="24.75" customHeight="1" x14ac:dyDescent="0.25">
      <c r="A90" s="384" t="s">
        <v>54</v>
      </c>
      <c r="B90" s="386">
        <f>6712.52-102.5-0.49</f>
        <v>6609.5300000000007</v>
      </c>
    </row>
    <row r="91" spans="1:2" ht="24.75" customHeight="1" x14ac:dyDescent="0.25">
      <c r="A91" s="384" t="s">
        <v>834</v>
      </c>
      <c r="B91" s="386">
        <v>1026</v>
      </c>
    </row>
    <row r="92" spans="1:2" ht="24.75" customHeight="1" x14ac:dyDescent="0.25">
      <c r="A92" s="384" t="s">
        <v>838</v>
      </c>
      <c r="B92" s="386">
        <v>313.2</v>
      </c>
    </row>
    <row r="93" spans="1:2" ht="24.75" customHeight="1" thickBot="1" x14ac:dyDescent="0.3">
      <c r="A93" s="384"/>
      <c r="B93" s="387">
        <f>SUM(B78:B92)</f>
        <v>197306.53</v>
      </c>
    </row>
    <row r="94" spans="1:2" ht="24.75" customHeight="1" thickTop="1" thickBot="1" x14ac:dyDescent="0.25">
      <c r="A94" s="53"/>
      <c r="B94" s="161"/>
    </row>
  </sheetData>
  <mergeCells count="20">
    <mergeCell ref="A73:B73"/>
    <mergeCell ref="A74:B74"/>
    <mergeCell ref="A75:B75"/>
    <mergeCell ref="A59:B59"/>
    <mergeCell ref="A60:B60"/>
    <mergeCell ref="A61:B61"/>
    <mergeCell ref="A62:B62"/>
    <mergeCell ref="A72:B72"/>
    <mergeCell ref="A45:B45"/>
    <mergeCell ref="A46:B46"/>
    <mergeCell ref="A47:B47"/>
    <mergeCell ref="A48:B48"/>
    <mergeCell ref="A33:B33"/>
    <mergeCell ref="A34:B34"/>
    <mergeCell ref="A32:B32"/>
    <mergeCell ref="A4:B4"/>
    <mergeCell ref="A5:B5"/>
    <mergeCell ref="A6:B6"/>
    <mergeCell ref="A7:B7"/>
    <mergeCell ref="A31:B31"/>
  </mergeCells>
  <phoneticPr fontId="3" type="noConversion"/>
  <pageMargins left="1.1023622047244095" right="0.31496062992125984" top="0.74803149606299213" bottom="0.74803149606299213" header="0.31496062992125984" footer="0.31496062992125984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0"/>
  <sheetViews>
    <sheetView zoomScaleNormal="100" workbookViewId="0">
      <selection activeCell="C15" sqref="C15"/>
    </sheetView>
  </sheetViews>
  <sheetFormatPr baseColWidth="10" defaultColWidth="9.140625" defaultRowHeight="24.75" customHeight="1" x14ac:dyDescent="0.2"/>
  <cols>
    <col min="1" max="1" width="9.140625" style="1" customWidth="1"/>
    <col min="2" max="2" width="45.7109375" style="1" customWidth="1"/>
    <col min="3" max="3" width="23.42578125" style="1" customWidth="1"/>
    <col min="4" max="16384" width="9.140625" style="1"/>
  </cols>
  <sheetData>
    <row r="2" spans="2:3" ht="24.75" customHeight="1" x14ac:dyDescent="0.25">
      <c r="B2" s="398"/>
      <c r="C2" s="398"/>
    </row>
    <row r="3" spans="2:3" ht="24.75" customHeight="1" x14ac:dyDescent="0.25">
      <c r="B3" s="398" t="s">
        <v>334</v>
      </c>
      <c r="C3" s="398"/>
    </row>
    <row r="4" spans="2:3" ht="24.75" customHeight="1" x14ac:dyDescent="0.25">
      <c r="B4" s="398" t="s">
        <v>227</v>
      </c>
      <c r="C4" s="398"/>
    </row>
    <row r="5" spans="2:3" ht="24.75" customHeight="1" x14ac:dyDescent="0.25">
      <c r="B5" s="398" t="s">
        <v>391</v>
      </c>
      <c r="C5" s="398"/>
    </row>
    <row r="6" spans="2:3" ht="24.75" customHeight="1" x14ac:dyDescent="0.25">
      <c r="B6" s="399">
        <v>45169</v>
      </c>
      <c r="C6" s="399"/>
    </row>
    <row r="7" spans="2:3" ht="24.75" customHeight="1" thickBot="1" x14ac:dyDescent="0.25"/>
    <row r="8" spans="2:3" ht="24.75" customHeight="1" thickBot="1" x14ac:dyDescent="0.3">
      <c r="B8" s="30" t="s">
        <v>240</v>
      </c>
      <c r="C8" s="31" t="s">
        <v>212</v>
      </c>
    </row>
    <row r="9" spans="2:3" ht="24.75" customHeight="1" x14ac:dyDescent="0.2">
      <c r="B9" s="28" t="s">
        <v>389</v>
      </c>
      <c r="C9" s="29">
        <v>991200</v>
      </c>
    </row>
    <row r="10" spans="2:3" ht="24.75" customHeight="1" x14ac:dyDescent="0.35">
      <c r="B10" s="28" t="s">
        <v>810</v>
      </c>
      <c r="C10" s="32">
        <v>120000000</v>
      </c>
    </row>
    <row r="11" spans="2:3" ht="24.75" customHeight="1" x14ac:dyDescent="0.4">
      <c r="B11" s="33" t="s">
        <v>224</v>
      </c>
      <c r="C11" s="27">
        <f>SUM(C9:C10)</f>
        <v>120991200</v>
      </c>
    </row>
    <row r="12" spans="2:3" ht="24.75" customHeight="1" x14ac:dyDescent="0.2">
      <c r="B12" s="25"/>
      <c r="C12" s="25"/>
    </row>
    <row r="14" spans="2:3" ht="24.75" customHeight="1" x14ac:dyDescent="0.2">
      <c r="C14" s="1" t="s">
        <v>9</v>
      </c>
    </row>
    <row r="15" spans="2:3" ht="24.75" customHeight="1" x14ac:dyDescent="0.2">
      <c r="C15" s="2"/>
    </row>
    <row r="16" spans="2:3" ht="24.75" customHeight="1" x14ac:dyDescent="0.2">
      <c r="C16" s="2"/>
    </row>
    <row r="17" spans="3:3" ht="24.75" customHeight="1" x14ac:dyDescent="0.2">
      <c r="C17" s="2"/>
    </row>
    <row r="18" spans="3:3" ht="24.75" customHeight="1" x14ac:dyDescent="0.2">
      <c r="C18" s="2"/>
    </row>
    <row r="19" spans="3:3" ht="24.75" customHeight="1" x14ac:dyDescent="0.2">
      <c r="C19" s="2"/>
    </row>
    <row r="20" spans="3:3" ht="24.75" customHeight="1" x14ac:dyDescent="0.2">
      <c r="C20" s="2"/>
    </row>
  </sheetData>
  <mergeCells count="5">
    <mergeCell ref="B3:C3"/>
    <mergeCell ref="B5:C5"/>
    <mergeCell ref="B6:C6"/>
    <mergeCell ref="B2:C2"/>
    <mergeCell ref="B4:C4"/>
  </mergeCells>
  <pageMargins left="0.7" right="0.7" top="0.75" bottom="0.75" header="0.3" footer="0.3"/>
  <pageSetup paperSize="9" orientation="portrait" horizontalDpi="4294967293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5"/>
  <sheetViews>
    <sheetView topLeftCell="A21" workbookViewId="0">
      <selection activeCell="E23" sqref="E23"/>
    </sheetView>
  </sheetViews>
  <sheetFormatPr baseColWidth="10" defaultRowHeight="12.75" x14ac:dyDescent="0.2"/>
  <cols>
    <col min="1" max="1" width="8.5703125" customWidth="1"/>
    <col min="2" max="2" width="3.5703125" customWidth="1"/>
    <col min="3" max="3" width="33" bestFit="1" customWidth="1"/>
    <col min="4" max="4" width="18.140625" bestFit="1" customWidth="1"/>
    <col min="5" max="5" width="25.7109375" bestFit="1" customWidth="1"/>
    <col min="6" max="6" width="1.42578125" customWidth="1"/>
  </cols>
  <sheetData>
    <row r="2" spans="2:5" ht="23.25" customHeight="1" x14ac:dyDescent="0.2">
      <c r="B2" s="411" t="s">
        <v>498</v>
      </c>
      <c r="C2" s="411"/>
      <c r="D2" s="411"/>
      <c r="E2" s="411"/>
    </row>
    <row r="3" spans="2:5" ht="18" x14ac:dyDescent="0.2">
      <c r="B3" s="410" t="s">
        <v>480</v>
      </c>
      <c r="C3" s="410"/>
      <c r="D3" s="410"/>
      <c r="E3" s="410"/>
    </row>
    <row r="4" spans="2:5" ht="21" x14ac:dyDescent="0.35">
      <c r="B4" s="286" t="s">
        <v>481</v>
      </c>
      <c r="C4" s="287" t="s">
        <v>482</v>
      </c>
      <c r="D4" s="287" t="s">
        <v>483</v>
      </c>
      <c r="E4" s="288" t="s">
        <v>484</v>
      </c>
    </row>
    <row r="5" spans="2:5" ht="35.25" x14ac:dyDescent="0.35">
      <c r="B5" s="244">
        <v>1</v>
      </c>
      <c r="C5" s="245" t="s">
        <v>485</v>
      </c>
      <c r="D5" s="246">
        <v>9379248.3399999999</v>
      </c>
      <c r="E5" s="35">
        <f>+D5</f>
        <v>9379248.3399999999</v>
      </c>
    </row>
    <row r="6" spans="2:5" ht="23.25" x14ac:dyDescent="0.35">
      <c r="B6" s="34">
        <v>2</v>
      </c>
      <c r="C6" s="247" t="s">
        <v>486</v>
      </c>
      <c r="D6" s="248">
        <v>461648.34</v>
      </c>
      <c r="E6" s="35">
        <f>+D6*1.5</f>
        <v>692472.51</v>
      </c>
    </row>
    <row r="7" spans="2:5" ht="23.25" x14ac:dyDescent="0.35">
      <c r="B7" s="244">
        <v>3</v>
      </c>
      <c r="C7" s="247" t="s">
        <v>487</v>
      </c>
      <c r="D7" s="248">
        <v>35000</v>
      </c>
      <c r="E7" s="35">
        <v>35000</v>
      </c>
    </row>
    <row r="8" spans="2:5" ht="23.25" x14ac:dyDescent="0.35">
      <c r="B8" s="34">
        <v>4</v>
      </c>
      <c r="C8" s="249" t="s">
        <v>341</v>
      </c>
      <c r="D8" s="248">
        <v>370000</v>
      </c>
      <c r="E8" s="35">
        <f>+D8</f>
        <v>370000</v>
      </c>
    </row>
    <row r="9" spans="2:5" ht="23.25" x14ac:dyDescent="0.35">
      <c r="B9" s="244">
        <v>5</v>
      </c>
      <c r="C9" s="249" t="s">
        <v>342</v>
      </c>
      <c r="D9" s="248">
        <v>305000</v>
      </c>
      <c r="E9" s="35">
        <f>+D9</f>
        <v>305000</v>
      </c>
    </row>
    <row r="10" spans="2:5" ht="23.25" x14ac:dyDescent="0.35">
      <c r="B10" s="34">
        <v>6</v>
      </c>
      <c r="C10" s="249" t="s">
        <v>343</v>
      </c>
      <c r="D10" s="248">
        <v>1247700</v>
      </c>
      <c r="E10" s="35">
        <f>+D10</f>
        <v>1247700</v>
      </c>
    </row>
    <row r="11" spans="2:5" ht="23.25" x14ac:dyDescent="0.35">
      <c r="B11" s="244">
        <v>7</v>
      </c>
      <c r="C11" s="249" t="s">
        <v>488</v>
      </c>
      <c r="D11" s="248">
        <v>7792600</v>
      </c>
      <c r="E11" s="35">
        <f>+D11</f>
        <v>7792600</v>
      </c>
    </row>
    <row r="12" spans="2:5" ht="23.25" x14ac:dyDescent="0.35">
      <c r="B12" s="34">
        <v>8</v>
      </c>
      <c r="C12" s="249" t="s">
        <v>489</v>
      </c>
      <c r="D12" s="248">
        <v>7792600</v>
      </c>
      <c r="E12" s="35">
        <f>+D12*2.5</f>
        <v>19481500</v>
      </c>
    </row>
    <row r="13" spans="2:5" ht="23.25" x14ac:dyDescent="0.35">
      <c r="B13" s="244">
        <v>9</v>
      </c>
      <c r="C13" s="249" t="s">
        <v>490</v>
      </c>
      <c r="D13" s="248">
        <v>870000</v>
      </c>
      <c r="E13" s="35">
        <f>+D13*2.5</f>
        <v>2175000</v>
      </c>
    </row>
    <row r="14" spans="2:5" ht="24" thickBot="1" x14ac:dyDescent="0.4">
      <c r="B14" s="34"/>
      <c r="C14" s="34"/>
      <c r="D14" s="34"/>
      <c r="E14" s="36">
        <f>SUM(E5:E13)</f>
        <v>41478520.850000001</v>
      </c>
    </row>
    <row r="15" spans="2:5" ht="19.5" customHeight="1" thickTop="1" x14ac:dyDescent="0.35">
      <c r="B15" s="34"/>
      <c r="C15" s="34"/>
      <c r="D15" s="34"/>
      <c r="E15" s="250"/>
    </row>
    <row r="16" spans="2:5" ht="21" x14ac:dyDescent="0.35">
      <c r="B16" s="34"/>
      <c r="C16" s="8" t="s">
        <v>494</v>
      </c>
      <c r="E16" s="252">
        <v>41478520.850000001</v>
      </c>
    </row>
    <row r="17" spans="2:5" ht="21" x14ac:dyDescent="0.35">
      <c r="B17" s="34"/>
      <c r="C17" s="8" t="s">
        <v>495</v>
      </c>
      <c r="E17" s="289" t="s">
        <v>497</v>
      </c>
    </row>
    <row r="18" spans="2:5" ht="21.75" thickBot="1" x14ac:dyDescent="0.4">
      <c r="B18" s="34"/>
      <c r="C18" s="8" t="s">
        <v>496</v>
      </c>
      <c r="E18" s="253">
        <v>3456543.4041666701</v>
      </c>
    </row>
    <row r="19" spans="2:5" ht="21.75" thickTop="1" x14ac:dyDescent="0.35">
      <c r="B19" s="34"/>
      <c r="C19" s="34"/>
      <c r="E19" s="34"/>
    </row>
    <row r="20" spans="2:5" ht="23.25" x14ac:dyDescent="0.35">
      <c r="B20" s="34"/>
      <c r="D20" s="251" t="s">
        <v>491</v>
      </c>
      <c r="E20" s="35">
        <v>3456543.4041666668</v>
      </c>
    </row>
    <row r="21" spans="2:5" ht="23.25" x14ac:dyDescent="0.35">
      <c r="B21" s="34"/>
      <c r="D21" t="s">
        <v>492</v>
      </c>
      <c r="E21" s="35">
        <v>3456543.4041666668</v>
      </c>
    </row>
    <row r="22" spans="2:5" ht="23.25" x14ac:dyDescent="0.35">
      <c r="B22" s="34"/>
      <c r="D22" t="s">
        <v>493</v>
      </c>
      <c r="E22" s="35">
        <v>3456543.4041666668</v>
      </c>
    </row>
    <row r="23" spans="2:5" ht="23.25" x14ac:dyDescent="0.35">
      <c r="B23" s="34"/>
      <c r="D23" s="251" t="s">
        <v>510</v>
      </c>
      <c r="E23" s="35">
        <f>+E22</f>
        <v>3456543.4041666668</v>
      </c>
    </row>
    <row r="24" spans="2:5" ht="23.25" x14ac:dyDescent="0.35">
      <c r="B24" s="34"/>
      <c r="D24" s="251" t="s">
        <v>559</v>
      </c>
      <c r="E24" s="35">
        <f>+E23</f>
        <v>3456543.4041666668</v>
      </c>
    </row>
    <row r="25" spans="2:5" ht="23.25" x14ac:dyDescent="0.35">
      <c r="B25" s="34"/>
      <c r="D25" s="251" t="s">
        <v>580</v>
      </c>
      <c r="E25" s="35">
        <f>+E24</f>
        <v>3456543.4041666668</v>
      </c>
    </row>
    <row r="26" spans="2:5" ht="23.25" x14ac:dyDescent="0.35">
      <c r="B26" s="34"/>
      <c r="D26" t="s">
        <v>581</v>
      </c>
      <c r="E26" s="35">
        <f>+E25</f>
        <v>3456543.4041666668</v>
      </c>
    </row>
    <row r="27" spans="2:5" ht="24" thickBot="1" x14ac:dyDescent="0.4">
      <c r="E27" s="36">
        <f>SUM(E20:E26)</f>
        <v>24195803.829166673</v>
      </c>
    </row>
    <row r="28" spans="2:5" ht="9.75" customHeight="1" thickTop="1" x14ac:dyDescent="0.35">
      <c r="E28" s="35"/>
    </row>
    <row r="29" spans="2:5" ht="23.25" x14ac:dyDescent="0.35">
      <c r="D29" s="251" t="s">
        <v>511</v>
      </c>
      <c r="E29" s="35">
        <v>21286716.620000001</v>
      </c>
    </row>
    <row r="30" spans="2:5" ht="10.5" customHeight="1" thickBot="1" x14ac:dyDescent="0.4">
      <c r="E30" s="35"/>
    </row>
    <row r="31" spans="2:5" ht="24" thickBot="1" x14ac:dyDescent="0.4">
      <c r="D31" s="264" t="s">
        <v>512</v>
      </c>
      <c r="E31" s="265">
        <f>+E27-E29</f>
        <v>2909087.2091666721</v>
      </c>
    </row>
    <row r="32" spans="2:5" ht="30.75" customHeight="1" x14ac:dyDescent="0.2"/>
    <row r="33" spans="3:5" ht="15" x14ac:dyDescent="0.2">
      <c r="C33" s="290" t="s">
        <v>560</v>
      </c>
      <c r="D33" s="291">
        <f>+E31</f>
        <v>2909087.2091666721</v>
      </c>
      <c r="E33" s="290"/>
    </row>
    <row r="34" spans="3:5" ht="10.5" customHeight="1" x14ac:dyDescent="0.2">
      <c r="C34" s="290"/>
      <c r="D34" s="291"/>
      <c r="E34" s="290"/>
    </row>
    <row r="35" spans="3:5" ht="15" x14ac:dyDescent="0.2">
      <c r="C35" s="290" t="s">
        <v>561</v>
      </c>
      <c r="D35" s="290"/>
      <c r="E35" s="291">
        <f>+D33</f>
        <v>2909087.2091666721</v>
      </c>
    </row>
  </sheetData>
  <mergeCells count="2">
    <mergeCell ref="B3:E3"/>
    <mergeCell ref="B2:E2"/>
  </mergeCells>
  <phoneticPr fontId="3" type="noConversion"/>
  <pageMargins left="0.70866141732283472" right="0.70866141732283472" top="0.74803149606299213" bottom="0.74803149606299213" header="0.31496062992125984" footer="0.31496062992125984"/>
  <pageSetup scale="95" orientation="portrait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G22"/>
  <sheetViews>
    <sheetView workbookViewId="0">
      <selection activeCell="E16" sqref="E16"/>
    </sheetView>
  </sheetViews>
  <sheetFormatPr baseColWidth="10" defaultRowHeight="12.75" x14ac:dyDescent="0.2"/>
  <cols>
    <col min="3" max="3" width="20.42578125" bestFit="1" customWidth="1"/>
    <col min="4" max="4" width="20.5703125" bestFit="1" customWidth="1"/>
    <col min="5" max="5" width="17" customWidth="1"/>
  </cols>
  <sheetData>
    <row r="2" spans="3:7" ht="18.75" x14ac:dyDescent="0.3">
      <c r="C2" s="412" t="s">
        <v>498</v>
      </c>
      <c r="D2" s="412"/>
      <c r="E2" s="412"/>
      <c r="F2" s="412"/>
      <c r="G2" s="412"/>
    </row>
    <row r="3" spans="3:7" ht="15.75" x14ac:dyDescent="0.25">
      <c r="C3" s="413" t="s">
        <v>499</v>
      </c>
      <c r="D3" s="413"/>
      <c r="E3" s="413"/>
      <c r="F3" s="413"/>
      <c r="G3" s="413"/>
    </row>
    <row r="4" spans="3:7" ht="19.5" x14ac:dyDescent="0.3">
      <c r="C4" s="249"/>
      <c r="D4" s="254"/>
      <c r="E4" s="254"/>
    </row>
    <row r="5" spans="3:7" ht="19.5" x14ac:dyDescent="0.3">
      <c r="C5" s="249" t="s">
        <v>500</v>
      </c>
      <c r="D5" s="254">
        <v>461648.34</v>
      </c>
      <c r="E5" s="254"/>
    </row>
    <row r="6" spans="3:7" ht="19.5" x14ac:dyDescent="0.3">
      <c r="C6" s="249" t="s">
        <v>501</v>
      </c>
      <c r="D6" s="254">
        <v>255000</v>
      </c>
      <c r="E6" s="254"/>
    </row>
    <row r="7" spans="3:7" ht="19.5" x14ac:dyDescent="0.3">
      <c r="C7" s="249" t="s">
        <v>502</v>
      </c>
      <c r="D7" s="254">
        <v>7792600</v>
      </c>
      <c r="E7" s="254"/>
    </row>
    <row r="8" spans="3:7" ht="19.5" x14ac:dyDescent="0.3">
      <c r="C8" s="249" t="s">
        <v>503</v>
      </c>
      <c r="D8" s="254">
        <v>870000</v>
      </c>
      <c r="E8" s="254"/>
    </row>
    <row r="9" spans="3:7" ht="20.25" thickBot="1" x14ac:dyDescent="0.35">
      <c r="C9" s="249" t="s">
        <v>225</v>
      </c>
      <c r="D9" s="255">
        <v>9379248.3399999999</v>
      </c>
      <c r="E9" s="254">
        <v>781604.02833333332</v>
      </c>
    </row>
    <row r="10" spans="3:7" ht="20.25" thickTop="1" x14ac:dyDescent="0.3">
      <c r="C10" s="249"/>
      <c r="D10" s="254"/>
      <c r="E10" s="254"/>
    </row>
    <row r="11" spans="3:7" ht="19.5" x14ac:dyDescent="0.3">
      <c r="C11" s="249"/>
      <c r="D11" s="254" t="s">
        <v>504</v>
      </c>
      <c r="E11" s="256">
        <v>781604.02833333332</v>
      </c>
    </row>
    <row r="12" spans="3:7" ht="19.5" x14ac:dyDescent="0.3">
      <c r="C12" s="249"/>
      <c r="D12" s="249"/>
      <c r="E12" s="257"/>
      <c r="F12" s="254"/>
      <c r="G12" s="254"/>
    </row>
    <row r="13" spans="3:7" ht="15" x14ac:dyDescent="0.2">
      <c r="D13" s="1"/>
      <c r="E13" s="1"/>
    </row>
    <row r="14" spans="3:7" ht="15" x14ac:dyDescent="0.2">
      <c r="D14" s="1" t="s">
        <v>505</v>
      </c>
      <c r="E14" s="6">
        <f>+E11</f>
        <v>781604.02833333332</v>
      </c>
    </row>
    <row r="15" spans="3:7" ht="15" x14ac:dyDescent="0.2">
      <c r="D15" s="1" t="s">
        <v>506</v>
      </c>
      <c r="E15" s="6">
        <f t="shared" ref="E15:E20" si="0">+E14</f>
        <v>781604.02833333332</v>
      </c>
    </row>
    <row r="16" spans="3:7" ht="15" x14ac:dyDescent="0.2">
      <c r="D16" s="1" t="s">
        <v>507</v>
      </c>
      <c r="E16" s="6">
        <f t="shared" si="0"/>
        <v>781604.02833333332</v>
      </c>
    </row>
    <row r="17" spans="4:5" ht="15" x14ac:dyDescent="0.2">
      <c r="D17" s="1" t="s">
        <v>513</v>
      </c>
      <c r="E17" s="6">
        <f t="shared" si="0"/>
        <v>781604.02833333332</v>
      </c>
    </row>
    <row r="18" spans="4:5" ht="15" x14ac:dyDescent="0.2">
      <c r="D18" s="1" t="s">
        <v>577</v>
      </c>
      <c r="E18" s="6">
        <f t="shared" si="0"/>
        <v>781604.02833333332</v>
      </c>
    </row>
    <row r="19" spans="4:5" ht="15" x14ac:dyDescent="0.2">
      <c r="D19" s="1" t="s">
        <v>578</v>
      </c>
      <c r="E19" s="6">
        <f t="shared" si="0"/>
        <v>781604.02833333332</v>
      </c>
    </row>
    <row r="20" spans="4:5" ht="15" x14ac:dyDescent="0.2">
      <c r="D20" s="1" t="s">
        <v>579</v>
      </c>
      <c r="E20" s="6">
        <f t="shared" si="0"/>
        <v>781604.02833333332</v>
      </c>
    </row>
    <row r="21" spans="4:5" ht="16.5" thickBot="1" x14ac:dyDescent="0.3">
      <c r="D21" s="1" t="s">
        <v>812</v>
      </c>
      <c r="E21" s="266">
        <f>SUM(E14:E20)</f>
        <v>5471228.1983333332</v>
      </c>
    </row>
    <row r="22" spans="4:5" ht="13.5" thickTop="1" x14ac:dyDescent="0.2"/>
  </sheetData>
  <mergeCells count="2">
    <mergeCell ref="C2:G2"/>
    <mergeCell ref="C3:G3"/>
  </mergeCells>
  <phoneticPr fontId="3" type="noConversion"/>
  <pageMargins left="0.70866141732283472" right="0.70866141732283472" top="0.74803149606299213" bottom="0.74803149606299213" header="0.31496062992125984" footer="0.31496062992125984"/>
  <pageSetup scale="88" orientation="portrait" horizontalDpi="4294967293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05"/>
  <sheetViews>
    <sheetView workbookViewId="0">
      <selection activeCell="E7" sqref="E7"/>
    </sheetView>
  </sheetViews>
  <sheetFormatPr baseColWidth="10" defaultRowHeight="12.75" x14ac:dyDescent="0.2"/>
  <cols>
    <col min="1" max="1" width="4.42578125" bestFit="1" customWidth="1"/>
    <col min="2" max="2" width="35" bestFit="1" customWidth="1"/>
    <col min="3" max="3" width="13.42578125" customWidth="1"/>
    <col min="4" max="4" width="13.42578125" style="321" customWidth="1"/>
    <col min="5" max="5" width="19.140625" style="307" bestFit="1" customWidth="1"/>
    <col min="6" max="6" width="17.7109375" customWidth="1"/>
    <col min="7" max="7" width="11.28515625" customWidth="1"/>
    <col min="8" max="8" width="12.42578125" style="321" customWidth="1"/>
    <col min="9" max="9" width="13.140625" bestFit="1" customWidth="1"/>
  </cols>
  <sheetData>
    <row r="2" spans="1:9" x14ac:dyDescent="0.2">
      <c r="A2" s="414" t="s">
        <v>809</v>
      </c>
      <c r="B2" s="414"/>
      <c r="C2" s="414"/>
      <c r="D2" s="414"/>
      <c r="E2" s="414"/>
      <c r="F2" s="414"/>
      <c r="G2" s="414"/>
      <c r="H2" s="414"/>
      <c r="I2" s="414"/>
    </row>
    <row r="3" spans="1:9" x14ac:dyDescent="0.2">
      <c r="A3" s="415"/>
      <c r="B3" s="415"/>
      <c r="C3" s="415"/>
      <c r="D3" s="415"/>
      <c r="E3" s="415"/>
      <c r="F3" s="415"/>
      <c r="G3" s="415"/>
      <c r="H3" s="415"/>
      <c r="I3" s="415"/>
    </row>
    <row r="4" spans="1:9" s="307" customFormat="1" ht="38.25" x14ac:dyDescent="0.2">
      <c r="A4" s="306" t="s">
        <v>583</v>
      </c>
      <c r="B4" s="306" t="s">
        <v>584</v>
      </c>
      <c r="C4" s="306" t="s">
        <v>585</v>
      </c>
      <c r="D4" s="306" t="s">
        <v>586</v>
      </c>
      <c r="E4" s="306" t="s">
        <v>587</v>
      </c>
      <c r="F4" s="306" t="s">
        <v>588</v>
      </c>
      <c r="G4" s="306" t="s">
        <v>589</v>
      </c>
      <c r="H4" s="306" t="s">
        <v>590</v>
      </c>
      <c r="I4" s="333" t="s">
        <v>808</v>
      </c>
    </row>
    <row r="5" spans="1:9" x14ac:dyDescent="0.2">
      <c r="A5" s="308">
        <v>1</v>
      </c>
      <c r="B5" s="329" t="s">
        <v>591</v>
      </c>
      <c r="C5" s="309" t="s">
        <v>592</v>
      </c>
      <c r="D5" s="310">
        <v>35916</v>
      </c>
      <c r="E5" s="331" t="s">
        <v>593</v>
      </c>
      <c r="F5" s="311">
        <v>120000</v>
      </c>
      <c r="G5" s="312">
        <f>F5/21.67</f>
        <v>5537.6095985233032</v>
      </c>
      <c r="H5" s="313">
        <v>30</v>
      </c>
      <c r="I5" s="312">
        <f t="shared" ref="I5:I68" si="0">G5*H5</f>
        <v>166128.28795569911</v>
      </c>
    </row>
    <row r="6" spans="1:9" ht="24" x14ac:dyDescent="0.2">
      <c r="A6" s="308">
        <v>2</v>
      </c>
      <c r="B6" s="329" t="s">
        <v>594</v>
      </c>
      <c r="C6" s="309" t="s">
        <v>595</v>
      </c>
      <c r="D6" s="310">
        <v>38386</v>
      </c>
      <c r="E6" s="331" t="s">
        <v>596</v>
      </c>
      <c r="F6" s="311">
        <v>65000</v>
      </c>
      <c r="G6" s="312">
        <f t="shared" ref="G6:G69" si="1">F6/21.67</f>
        <v>2999.538532533456</v>
      </c>
      <c r="H6" s="313">
        <v>55</v>
      </c>
      <c r="I6" s="312">
        <f t="shared" si="0"/>
        <v>164974.61928934007</v>
      </c>
    </row>
    <row r="7" spans="1:9" ht="36" x14ac:dyDescent="0.2">
      <c r="A7" s="308">
        <v>3</v>
      </c>
      <c r="B7" s="329" t="s">
        <v>597</v>
      </c>
      <c r="C7" s="309" t="s">
        <v>598</v>
      </c>
      <c r="D7" s="310">
        <v>41334</v>
      </c>
      <c r="E7" s="331" t="s">
        <v>599</v>
      </c>
      <c r="F7" s="311">
        <v>85000</v>
      </c>
      <c r="G7" s="312">
        <f t="shared" si="1"/>
        <v>3922.4734656206733</v>
      </c>
      <c r="H7" s="313">
        <v>15</v>
      </c>
      <c r="I7" s="312">
        <f t="shared" si="0"/>
        <v>58837.101984310102</v>
      </c>
    </row>
    <row r="8" spans="1:9" x14ac:dyDescent="0.2">
      <c r="A8" s="308">
        <v>4</v>
      </c>
      <c r="B8" s="329" t="s">
        <v>600</v>
      </c>
      <c r="C8" s="309" t="s">
        <v>601</v>
      </c>
      <c r="D8" s="310">
        <v>44682</v>
      </c>
      <c r="E8" s="331" t="s">
        <v>602</v>
      </c>
      <c r="F8" s="311">
        <v>60000</v>
      </c>
      <c r="G8" s="312">
        <f t="shared" si="1"/>
        <v>2768.8047992616516</v>
      </c>
      <c r="H8" s="313">
        <v>14</v>
      </c>
      <c r="I8" s="312">
        <f t="shared" si="0"/>
        <v>38763.267189663122</v>
      </c>
    </row>
    <row r="9" spans="1:9" x14ac:dyDescent="0.2">
      <c r="A9" s="308">
        <v>5</v>
      </c>
      <c r="B9" s="329" t="s">
        <v>603</v>
      </c>
      <c r="C9" s="309" t="s">
        <v>604</v>
      </c>
      <c r="D9" s="310">
        <v>44713</v>
      </c>
      <c r="E9" s="331" t="s">
        <v>605</v>
      </c>
      <c r="F9" s="311">
        <v>20000</v>
      </c>
      <c r="G9" s="312">
        <f t="shared" si="1"/>
        <v>922.93493308721725</v>
      </c>
      <c r="H9" s="313">
        <v>15</v>
      </c>
      <c r="I9" s="312">
        <f t="shared" si="0"/>
        <v>13844.023996308259</v>
      </c>
    </row>
    <row r="10" spans="1:9" x14ac:dyDescent="0.2">
      <c r="A10" s="308">
        <v>6</v>
      </c>
      <c r="B10" s="329" t="s">
        <v>606</v>
      </c>
      <c r="C10" s="309" t="s">
        <v>607</v>
      </c>
      <c r="D10" s="310">
        <v>39552</v>
      </c>
      <c r="E10" s="331" t="s">
        <v>422</v>
      </c>
      <c r="F10" s="311">
        <v>120000</v>
      </c>
      <c r="G10" s="312">
        <f t="shared" si="1"/>
        <v>5537.6095985233032</v>
      </c>
      <c r="H10" s="313">
        <v>45</v>
      </c>
      <c r="I10" s="312">
        <f t="shared" si="0"/>
        <v>249192.43193354865</v>
      </c>
    </row>
    <row r="11" spans="1:9" x14ac:dyDescent="0.2">
      <c r="A11" s="308">
        <v>7</v>
      </c>
      <c r="B11" s="329" t="s">
        <v>608</v>
      </c>
      <c r="C11" s="309" t="s">
        <v>609</v>
      </c>
      <c r="D11" s="310">
        <v>38261</v>
      </c>
      <c r="E11" s="331" t="s">
        <v>605</v>
      </c>
      <c r="F11" s="311">
        <v>21300</v>
      </c>
      <c r="G11" s="312">
        <f t="shared" si="1"/>
        <v>982.92570373788635</v>
      </c>
      <c r="H11" s="313">
        <v>30</v>
      </c>
      <c r="I11" s="312">
        <f t="shared" si="0"/>
        <v>29487.77111213659</v>
      </c>
    </row>
    <row r="12" spans="1:9" ht="24" x14ac:dyDescent="0.2">
      <c r="A12" s="308">
        <v>8</v>
      </c>
      <c r="B12" s="329" t="s">
        <v>610</v>
      </c>
      <c r="C12" s="309" t="s">
        <v>611</v>
      </c>
      <c r="D12" s="310">
        <v>42248</v>
      </c>
      <c r="E12" s="331" t="s">
        <v>612</v>
      </c>
      <c r="F12" s="311">
        <v>80000</v>
      </c>
      <c r="G12" s="312">
        <f t="shared" si="1"/>
        <v>3691.739732348869</v>
      </c>
      <c r="H12" s="313">
        <v>15</v>
      </c>
      <c r="I12" s="312">
        <f t="shared" si="0"/>
        <v>55376.095985233034</v>
      </c>
    </row>
    <row r="13" spans="1:9" x14ac:dyDescent="0.2">
      <c r="A13" s="308">
        <v>9</v>
      </c>
      <c r="B13" s="329" t="s">
        <v>613</v>
      </c>
      <c r="C13" s="309" t="s">
        <v>614</v>
      </c>
      <c r="D13" s="310">
        <v>43313</v>
      </c>
      <c r="E13" s="331" t="s">
        <v>602</v>
      </c>
      <c r="F13" s="311">
        <v>60000</v>
      </c>
      <c r="G13" s="312">
        <f t="shared" si="1"/>
        <v>2768.8047992616516</v>
      </c>
      <c r="H13" s="313">
        <v>15</v>
      </c>
      <c r="I13" s="312">
        <f t="shared" si="0"/>
        <v>41532.071988924778</v>
      </c>
    </row>
    <row r="14" spans="1:9" x14ac:dyDescent="0.2">
      <c r="A14" s="308">
        <v>10</v>
      </c>
      <c r="B14" s="329" t="s">
        <v>615</v>
      </c>
      <c r="C14" s="309" t="s">
        <v>616</v>
      </c>
      <c r="D14" s="310">
        <v>44480</v>
      </c>
      <c r="E14" s="331" t="s">
        <v>422</v>
      </c>
      <c r="F14" s="311">
        <v>120000</v>
      </c>
      <c r="G14" s="312">
        <f t="shared" si="1"/>
        <v>5537.6095985233032</v>
      </c>
      <c r="H14" s="313">
        <v>25</v>
      </c>
      <c r="I14" s="312">
        <f t="shared" si="0"/>
        <v>138440.23996308257</v>
      </c>
    </row>
    <row r="15" spans="1:9" ht="36" x14ac:dyDescent="0.2">
      <c r="A15" s="308">
        <v>11</v>
      </c>
      <c r="B15" s="329" t="s">
        <v>617</v>
      </c>
      <c r="C15" s="309" t="s">
        <v>618</v>
      </c>
      <c r="D15" s="310">
        <v>44470</v>
      </c>
      <c r="E15" s="331" t="s">
        <v>619</v>
      </c>
      <c r="F15" s="311">
        <v>65000</v>
      </c>
      <c r="G15" s="312">
        <f t="shared" si="1"/>
        <v>2999.538532533456</v>
      </c>
      <c r="H15" s="313">
        <v>10</v>
      </c>
      <c r="I15" s="312">
        <f t="shared" si="0"/>
        <v>29995.385325334559</v>
      </c>
    </row>
    <row r="16" spans="1:9" x14ac:dyDescent="0.2">
      <c r="A16" s="308">
        <v>12</v>
      </c>
      <c r="B16" s="329" t="s">
        <v>620</v>
      </c>
      <c r="C16" s="309" t="s">
        <v>621</v>
      </c>
      <c r="D16" s="310">
        <v>44319</v>
      </c>
      <c r="E16" s="331" t="s">
        <v>622</v>
      </c>
      <c r="F16" s="311">
        <v>25000</v>
      </c>
      <c r="G16" s="312">
        <f t="shared" si="1"/>
        <v>1153.6686663590217</v>
      </c>
      <c r="H16" s="313">
        <v>12</v>
      </c>
      <c r="I16" s="312">
        <f t="shared" si="0"/>
        <v>13844.02399630826</v>
      </c>
    </row>
    <row r="17" spans="1:9" x14ac:dyDescent="0.2">
      <c r="A17" s="308">
        <v>13</v>
      </c>
      <c r="B17" s="329" t="s">
        <v>623</v>
      </c>
      <c r="C17" s="309" t="s">
        <v>624</v>
      </c>
      <c r="D17" s="310">
        <v>44713</v>
      </c>
      <c r="E17" s="331" t="s">
        <v>605</v>
      </c>
      <c r="F17" s="311">
        <v>20000</v>
      </c>
      <c r="G17" s="312">
        <f t="shared" si="1"/>
        <v>922.93493308721725</v>
      </c>
      <c r="H17" s="313">
        <v>5</v>
      </c>
      <c r="I17" s="312">
        <f t="shared" si="0"/>
        <v>4614.6746654360859</v>
      </c>
    </row>
    <row r="18" spans="1:9" x14ac:dyDescent="0.2">
      <c r="A18" s="308">
        <v>14</v>
      </c>
      <c r="B18" s="329" t="s">
        <v>625</v>
      </c>
      <c r="C18" s="309" t="s">
        <v>626</v>
      </c>
      <c r="D18" s="310">
        <v>44743</v>
      </c>
      <c r="E18" s="331" t="s">
        <v>627</v>
      </c>
      <c r="F18" s="311">
        <v>90000</v>
      </c>
      <c r="G18" s="312">
        <f t="shared" si="1"/>
        <v>4153.2071988924781</v>
      </c>
      <c r="H18" s="313">
        <v>10</v>
      </c>
      <c r="I18" s="312">
        <f t="shared" si="0"/>
        <v>41532.071988924785</v>
      </c>
    </row>
    <row r="19" spans="1:9" x14ac:dyDescent="0.2">
      <c r="A19" s="308">
        <v>15</v>
      </c>
      <c r="B19" s="329" t="s">
        <v>628</v>
      </c>
      <c r="C19" s="309" t="s">
        <v>629</v>
      </c>
      <c r="D19" s="310">
        <v>43556</v>
      </c>
      <c r="E19" s="331" t="s">
        <v>602</v>
      </c>
      <c r="F19" s="311">
        <v>60000</v>
      </c>
      <c r="G19" s="312">
        <f t="shared" si="1"/>
        <v>2768.8047992616516</v>
      </c>
      <c r="H19" s="313">
        <v>10</v>
      </c>
      <c r="I19" s="312">
        <f t="shared" si="0"/>
        <v>27688.047992616517</v>
      </c>
    </row>
    <row r="20" spans="1:9" ht="24" x14ac:dyDescent="0.2">
      <c r="A20" s="308">
        <v>16</v>
      </c>
      <c r="B20" s="329" t="s">
        <v>630</v>
      </c>
      <c r="C20" s="309" t="s">
        <v>631</v>
      </c>
      <c r="D20" s="310">
        <v>38231</v>
      </c>
      <c r="E20" s="331" t="s">
        <v>632</v>
      </c>
      <c r="F20" s="311">
        <v>81300</v>
      </c>
      <c r="G20" s="312">
        <f t="shared" si="1"/>
        <v>3751.7305029995382</v>
      </c>
      <c r="H20" s="313">
        <v>50</v>
      </c>
      <c r="I20" s="312">
        <f t="shared" si="0"/>
        <v>187586.52514997692</v>
      </c>
    </row>
    <row r="21" spans="1:9" x14ac:dyDescent="0.2">
      <c r="A21" s="308">
        <v>17</v>
      </c>
      <c r="B21" s="329" t="s">
        <v>633</v>
      </c>
      <c r="C21" s="309" t="s">
        <v>634</v>
      </c>
      <c r="D21" s="310">
        <v>44958</v>
      </c>
      <c r="E21" s="331" t="s">
        <v>622</v>
      </c>
      <c r="F21" s="311">
        <v>25000</v>
      </c>
      <c r="G21" s="314">
        <f t="shared" si="1"/>
        <v>1153.6686663590217</v>
      </c>
      <c r="H21" s="313">
        <v>10</v>
      </c>
      <c r="I21" s="312">
        <f t="shared" si="0"/>
        <v>11536.686663590217</v>
      </c>
    </row>
    <row r="22" spans="1:9" x14ac:dyDescent="0.2">
      <c r="A22" s="308">
        <v>18</v>
      </c>
      <c r="B22" s="329" t="s">
        <v>635</v>
      </c>
      <c r="C22" s="309" t="s">
        <v>636</v>
      </c>
      <c r="D22" s="310">
        <v>43647</v>
      </c>
      <c r="E22" s="331" t="s">
        <v>425</v>
      </c>
      <c r="F22" s="311">
        <v>80000</v>
      </c>
      <c r="G22" s="312">
        <f t="shared" si="1"/>
        <v>3691.739732348869</v>
      </c>
      <c r="H22" s="313">
        <v>24</v>
      </c>
      <c r="I22" s="312">
        <f t="shared" si="0"/>
        <v>88601.753576372852</v>
      </c>
    </row>
    <row r="23" spans="1:9" ht="24" x14ac:dyDescent="0.2">
      <c r="A23" s="308">
        <v>19</v>
      </c>
      <c r="B23" s="329" t="s">
        <v>637</v>
      </c>
      <c r="C23" s="309" t="s">
        <v>638</v>
      </c>
      <c r="D23" s="310">
        <v>38231</v>
      </c>
      <c r="E23" s="331" t="s">
        <v>639</v>
      </c>
      <c r="F23" s="311">
        <v>90000</v>
      </c>
      <c r="G23" s="312">
        <f t="shared" si="1"/>
        <v>4153.2071988924781</v>
      </c>
      <c r="H23" s="313">
        <v>20</v>
      </c>
      <c r="I23" s="312">
        <f t="shared" si="0"/>
        <v>83064.14397784957</v>
      </c>
    </row>
    <row r="24" spans="1:9" ht="24" x14ac:dyDescent="0.2">
      <c r="A24" s="308">
        <v>20</v>
      </c>
      <c r="B24" s="329" t="s">
        <v>640</v>
      </c>
      <c r="C24" s="309" t="s">
        <v>641</v>
      </c>
      <c r="D24" s="310">
        <v>44095</v>
      </c>
      <c r="E24" s="331" t="s">
        <v>642</v>
      </c>
      <c r="F24" s="311">
        <v>30000</v>
      </c>
      <c r="G24" s="312">
        <f t="shared" si="1"/>
        <v>1384.4023996308258</v>
      </c>
      <c r="H24" s="313">
        <v>11</v>
      </c>
      <c r="I24" s="312">
        <f t="shared" si="0"/>
        <v>15228.426395939085</v>
      </c>
    </row>
    <row r="25" spans="1:9" x14ac:dyDescent="0.2">
      <c r="A25" s="308">
        <v>21</v>
      </c>
      <c r="B25" s="329" t="s">
        <v>643</v>
      </c>
      <c r="C25" s="309" t="s">
        <v>644</v>
      </c>
      <c r="D25" s="310">
        <v>41852</v>
      </c>
      <c r="E25" s="331" t="s">
        <v>645</v>
      </c>
      <c r="F25" s="311">
        <v>45000</v>
      </c>
      <c r="G25" s="312">
        <f t="shared" si="1"/>
        <v>2076.6035994462391</v>
      </c>
      <c r="H25" s="313">
        <v>35</v>
      </c>
      <c r="I25" s="312">
        <f t="shared" si="0"/>
        <v>72681.125980618366</v>
      </c>
    </row>
    <row r="26" spans="1:9" x14ac:dyDescent="0.2">
      <c r="A26" s="308">
        <v>22</v>
      </c>
      <c r="B26" s="329" t="s">
        <v>646</v>
      </c>
      <c r="C26" s="309" t="s">
        <v>647</v>
      </c>
      <c r="D26" s="310">
        <v>41312</v>
      </c>
      <c r="E26" s="331" t="s">
        <v>622</v>
      </c>
      <c r="F26" s="311">
        <v>28400</v>
      </c>
      <c r="G26" s="312">
        <f t="shared" si="1"/>
        <v>1310.5676049838485</v>
      </c>
      <c r="H26" s="313">
        <v>10</v>
      </c>
      <c r="I26" s="312">
        <f t="shared" si="0"/>
        <v>13105.676049838485</v>
      </c>
    </row>
    <row r="27" spans="1:9" ht="24" x14ac:dyDescent="0.2">
      <c r="A27" s="308">
        <v>23</v>
      </c>
      <c r="B27" s="329" t="s">
        <v>648</v>
      </c>
      <c r="C27" s="309" t="s">
        <v>649</v>
      </c>
      <c r="D27" s="310">
        <v>38687</v>
      </c>
      <c r="E27" s="331" t="s">
        <v>650</v>
      </c>
      <c r="F27" s="311">
        <v>110000</v>
      </c>
      <c r="G27" s="312">
        <f t="shared" si="1"/>
        <v>5076.1421319796955</v>
      </c>
      <c r="H27" s="313">
        <v>49</v>
      </c>
      <c r="I27" s="312">
        <f t="shared" si="0"/>
        <v>248730.96446700508</v>
      </c>
    </row>
    <row r="28" spans="1:9" x14ac:dyDescent="0.2">
      <c r="A28" s="308">
        <v>24</v>
      </c>
      <c r="B28" s="329" t="s">
        <v>651</v>
      </c>
      <c r="C28" s="309" t="s">
        <v>652</v>
      </c>
      <c r="D28" s="310">
        <v>44470</v>
      </c>
      <c r="E28" s="331" t="s">
        <v>653</v>
      </c>
      <c r="F28" s="311">
        <v>65000</v>
      </c>
      <c r="G28" s="312">
        <f t="shared" si="1"/>
        <v>2999.538532533456</v>
      </c>
      <c r="H28" s="313">
        <v>5</v>
      </c>
      <c r="I28" s="312">
        <f t="shared" si="0"/>
        <v>14997.692662667279</v>
      </c>
    </row>
    <row r="29" spans="1:9" ht="24" x14ac:dyDescent="0.2">
      <c r="A29" s="308">
        <v>25</v>
      </c>
      <c r="B29" s="329" t="s">
        <v>654</v>
      </c>
      <c r="C29" s="309" t="s">
        <v>655</v>
      </c>
      <c r="D29" s="310">
        <v>42278</v>
      </c>
      <c r="E29" s="331" t="s">
        <v>642</v>
      </c>
      <c r="F29" s="311">
        <v>30000</v>
      </c>
      <c r="G29" s="312">
        <f t="shared" si="1"/>
        <v>1384.4023996308258</v>
      </c>
      <c r="H29" s="313">
        <v>20</v>
      </c>
      <c r="I29" s="312">
        <f t="shared" si="0"/>
        <v>27688.047992616517</v>
      </c>
    </row>
    <row r="30" spans="1:9" ht="24" x14ac:dyDescent="0.2">
      <c r="A30" s="308">
        <v>26</v>
      </c>
      <c r="B30" s="329" t="s">
        <v>656</v>
      </c>
      <c r="C30" s="309" t="s">
        <v>657</v>
      </c>
      <c r="D30" s="310">
        <v>39995</v>
      </c>
      <c r="E30" s="331" t="s">
        <v>612</v>
      </c>
      <c r="F30" s="311">
        <v>75000</v>
      </c>
      <c r="G30" s="312">
        <f t="shared" si="1"/>
        <v>3461.0059990770646</v>
      </c>
      <c r="H30" s="313">
        <v>35</v>
      </c>
      <c r="I30" s="312">
        <f t="shared" si="0"/>
        <v>121135.20996769726</v>
      </c>
    </row>
    <row r="31" spans="1:9" ht="24" x14ac:dyDescent="0.2">
      <c r="A31" s="308">
        <v>27</v>
      </c>
      <c r="B31" s="329" t="s">
        <v>658</v>
      </c>
      <c r="C31" s="309" t="s">
        <v>659</v>
      </c>
      <c r="D31" s="310">
        <v>40603</v>
      </c>
      <c r="E31" s="331" t="s">
        <v>660</v>
      </c>
      <c r="F31" s="311">
        <v>62500</v>
      </c>
      <c r="G31" s="312">
        <f t="shared" si="1"/>
        <v>2884.1716658975538</v>
      </c>
      <c r="H31" s="313">
        <v>15</v>
      </c>
      <c r="I31" s="312">
        <f t="shared" si="0"/>
        <v>43262.574988463304</v>
      </c>
    </row>
    <row r="32" spans="1:9" x14ac:dyDescent="0.2">
      <c r="A32" s="308">
        <v>28</v>
      </c>
      <c r="B32" s="329" t="s">
        <v>661</v>
      </c>
      <c r="C32" s="309" t="s">
        <v>662</v>
      </c>
      <c r="D32" s="310">
        <v>43782</v>
      </c>
      <c r="E32" s="331" t="s">
        <v>605</v>
      </c>
      <c r="F32" s="311">
        <v>21300</v>
      </c>
      <c r="G32" s="312">
        <f t="shared" si="1"/>
        <v>982.92570373788635</v>
      </c>
      <c r="H32" s="313">
        <v>25</v>
      </c>
      <c r="I32" s="312">
        <f t="shared" si="0"/>
        <v>24573.142593447159</v>
      </c>
    </row>
    <row r="33" spans="1:9" x14ac:dyDescent="0.2">
      <c r="A33" s="308">
        <v>29</v>
      </c>
      <c r="B33" s="329" t="s">
        <v>663</v>
      </c>
      <c r="C33" s="309" t="s">
        <v>664</v>
      </c>
      <c r="D33" s="310">
        <v>40664</v>
      </c>
      <c r="E33" s="331" t="s">
        <v>665</v>
      </c>
      <c r="F33" s="311">
        <v>30200</v>
      </c>
      <c r="G33" s="312">
        <f t="shared" si="1"/>
        <v>1393.6317489616981</v>
      </c>
      <c r="H33" s="313">
        <v>5</v>
      </c>
      <c r="I33" s="312">
        <f t="shared" si="0"/>
        <v>6968.1587448084902</v>
      </c>
    </row>
    <row r="34" spans="1:9" x14ac:dyDescent="0.2">
      <c r="A34" s="308">
        <v>30</v>
      </c>
      <c r="B34" s="329" t="s">
        <v>666</v>
      </c>
      <c r="C34" s="309" t="s">
        <v>667</v>
      </c>
      <c r="D34" s="310">
        <v>44197</v>
      </c>
      <c r="E34" s="331" t="s">
        <v>593</v>
      </c>
      <c r="F34" s="311">
        <v>120000</v>
      </c>
      <c r="G34" s="312">
        <f t="shared" si="1"/>
        <v>5537.6095985233032</v>
      </c>
      <c r="H34" s="313">
        <v>29</v>
      </c>
      <c r="I34" s="312">
        <f t="shared" si="0"/>
        <v>160590.67835717578</v>
      </c>
    </row>
    <row r="35" spans="1:9" x14ac:dyDescent="0.2">
      <c r="A35" s="308">
        <v>31</v>
      </c>
      <c r="B35" s="329" t="s">
        <v>668</v>
      </c>
      <c r="C35" s="309" t="s">
        <v>669</v>
      </c>
      <c r="D35" s="310">
        <v>44263</v>
      </c>
      <c r="E35" s="331" t="s">
        <v>422</v>
      </c>
      <c r="F35" s="311">
        <v>120000</v>
      </c>
      <c r="G35" s="312">
        <f t="shared" si="1"/>
        <v>5537.6095985233032</v>
      </c>
      <c r="H35" s="313">
        <v>10</v>
      </c>
      <c r="I35" s="312">
        <f t="shared" si="0"/>
        <v>55376.095985233034</v>
      </c>
    </row>
    <row r="36" spans="1:9" ht="24" x14ac:dyDescent="0.2">
      <c r="A36" s="308">
        <v>32</v>
      </c>
      <c r="B36" s="329" t="s">
        <v>670</v>
      </c>
      <c r="C36" s="309" t="s">
        <v>671</v>
      </c>
      <c r="D36" s="310">
        <v>38231</v>
      </c>
      <c r="E36" s="331" t="s">
        <v>672</v>
      </c>
      <c r="F36" s="311">
        <v>45000</v>
      </c>
      <c r="G36" s="312">
        <f t="shared" si="1"/>
        <v>2076.6035994462391</v>
      </c>
      <c r="H36" s="313">
        <v>20</v>
      </c>
      <c r="I36" s="312">
        <f t="shared" si="0"/>
        <v>41532.071988924785</v>
      </c>
    </row>
    <row r="37" spans="1:9" x14ac:dyDescent="0.2">
      <c r="A37" s="308">
        <v>33</v>
      </c>
      <c r="B37" s="329" t="s">
        <v>673</v>
      </c>
      <c r="C37" s="309" t="s">
        <v>424</v>
      </c>
      <c r="D37" s="310">
        <v>44123</v>
      </c>
      <c r="E37" s="331" t="s">
        <v>425</v>
      </c>
      <c r="F37" s="311">
        <v>80000</v>
      </c>
      <c r="G37" s="312">
        <f t="shared" si="1"/>
        <v>3691.739732348869</v>
      </c>
      <c r="H37" s="313">
        <v>14</v>
      </c>
      <c r="I37" s="312">
        <f t="shared" si="0"/>
        <v>51684.356252884165</v>
      </c>
    </row>
    <row r="38" spans="1:9" ht="24" x14ac:dyDescent="0.2">
      <c r="A38" s="308">
        <v>34</v>
      </c>
      <c r="B38" s="329" t="s">
        <v>674</v>
      </c>
      <c r="C38" s="309" t="s">
        <v>675</v>
      </c>
      <c r="D38" s="310">
        <v>44652</v>
      </c>
      <c r="E38" s="331" t="s">
        <v>676</v>
      </c>
      <c r="F38" s="311">
        <v>20000</v>
      </c>
      <c r="G38" s="312">
        <f t="shared" si="1"/>
        <v>922.93493308721725</v>
      </c>
      <c r="H38" s="313">
        <v>9</v>
      </c>
      <c r="I38" s="312">
        <f t="shared" si="0"/>
        <v>8306.4143977849544</v>
      </c>
    </row>
    <row r="39" spans="1:9" ht="24" x14ac:dyDescent="0.2">
      <c r="A39" s="308">
        <v>35</v>
      </c>
      <c r="B39" s="329" t="s">
        <v>677</v>
      </c>
      <c r="C39" s="309" t="s">
        <v>678</v>
      </c>
      <c r="D39" s="310">
        <v>43678</v>
      </c>
      <c r="E39" s="331" t="s">
        <v>679</v>
      </c>
      <c r="F39" s="311">
        <v>60000</v>
      </c>
      <c r="G39" s="312">
        <f t="shared" si="1"/>
        <v>2768.8047992616516</v>
      </c>
      <c r="H39" s="313">
        <v>6</v>
      </c>
      <c r="I39" s="312">
        <f t="shared" si="0"/>
        <v>16612.828795569909</v>
      </c>
    </row>
    <row r="40" spans="1:9" x14ac:dyDescent="0.2">
      <c r="A40" s="308">
        <v>36</v>
      </c>
      <c r="B40" s="329" t="s">
        <v>680</v>
      </c>
      <c r="C40" s="309" t="s">
        <v>681</v>
      </c>
      <c r="D40" s="310">
        <v>44312</v>
      </c>
      <c r="E40" s="331" t="s">
        <v>605</v>
      </c>
      <c r="F40" s="311">
        <v>21500</v>
      </c>
      <c r="G40" s="312">
        <f t="shared" si="1"/>
        <v>992.15505306875855</v>
      </c>
      <c r="H40" s="313">
        <v>10</v>
      </c>
      <c r="I40" s="312">
        <f t="shared" si="0"/>
        <v>9921.5505306875857</v>
      </c>
    </row>
    <row r="41" spans="1:9" x14ac:dyDescent="0.2">
      <c r="A41" s="308">
        <v>37</v>
      </c>
      <c r="B41" s="329" t="s">
        <v>682</v>
      </c>
      <c r="C41" s="309" t="s">
        <v>683</v>
      </c>
      <c r="D41" s="310">
        <v>44713</v>
      </c>
      <c r="E41" s="331" t="s">
        <v>622</v>
      </c>
      <c r="F41" s="311">
        <v>25000</v>
      </c>
      <c r="G41" s="312">
        <f t="shared" si="1"/>
        <v>1153.6686663590217</v>
      </c>
      <c r="H41" s="313">
        <v>15</v>
      </c>
      <c r="I41" s="312">
        <f t="shared" si="0"/>
        <v>17305.029995385325</v>
      </c>
    </row>
    <row r="42" spans="1:9" x14ac:dyDescent="0.2">
      <c r="A42" s="308">
        <v>38</v>
      </c>
      <c r="B42" s="329" t="s">
        <v>684</v>
      </c>
      <c r="C42" s="309" t="s">
        <v>685</v>
      </c>
      <c r="D42" s="310">
        <v>38615</v>
      </c>
      <c r="E42" s="331" t="s">
        <v>422</v>
      </c>
      <c r="F42" s="311">
        <v>200000</v>
      </c>
      <c r="G42" s="312">
        <f t="shared" si="1"/>
        <v>9229.3493308721736</v>
      </c>
      <c r="H42" s="313">
        <v>30</v>
      </c>
      <c r="I42" s="312">
        <f t="shared" si="0"/>
        <v>276880.47992616519</v>
      </c>
    </row>
    <row r="43" spans="1:9" x14ac:dyDescent="0.2">
      <c r="A43" s="308">
        <v>39</v>
      </c>
      <c r="B43" s="329" t="s">
        <v>686</v>
      </c>
      <c r="C43" s="309" t="s">
        <v>419</v>
      </c>
      <c r="D43" s="310">
        <v>44110</v>
      </c>
      <c r="E43" s="331" t="s">
        <v>420</v>
      </c>
      <c r="F43" s="311">
        <v>550000</v>
      </c>
      <c r="G43" s="312">
        <f t="shared" si="1"/>
        <v>25380.710659898476</v>
      </c>
      <c r="H43" s="313">
        <v>25</v>
      </c>
      <c r="I43" s="312">
        <f t="shared" si="0"/>
        <v>634517.76649746194</v>
      </c>
    </row>
    <row r="44" spans="1:9" ht="24" x14ac:dyDescent="0.2">
      <c r="A44" s="308">
        <v>40</v>
      </c>
      <c r="B44" s="329" t="s">
        <v>687</v>
      </c>
      <c r="C44" s="309" t="s">
        <v>688</v>
      </c>
      <c r="D44" s="310">
        <v>42095</v>
      </c>
      <c r="E44" s="331" t="s">
        <v>689</v>
      </c>
      <c r="F44" s="311">
        <v>32500</v>
      </c>
      <c r="G44" s="312">
        <f t="shared" si="1"/>
        <v>1499.769266266728</v>
      </c>
      <c r="H44" s="313">
        <v>0</v>
      </c>
      <c r="I44" s="312">
        <f t="shared" si="0"/>
        <v>0</v>
      </c>
    </row>
    <row r="45" spans="1:9" x14ac:dyDescent="0.2">
      <c r="A45" s="308">
        <v>41</v>
      </c>
      <c r="B45" s="329" t="s">
        <v>690</v>
      </c>
      <c r="C45" s="309" t="s">
        <v>691</v>
      </c>
      <c r="D45" s="310">
        <v>44110</v>
      </c>
      <c r="E45" s="331" t="s">
        <v>692</v>
      </c>
      <c r="F45" s="311">
        <v>275000</v>
      </c>
      <c r="G45" s="312">
        <f t="shared" si="1"/>
        <v>12690.355329949238</v>
      </c>
      <c r="H45" s="313">
        <v>7</v>
      </c>
      <c r="I45" s="312">
        <f t="shared" si="0"/>
        <v>88832.487309644668</v>
      </c>
    </row>
    <row r="46" spans="1:9" x14ac:dyDescent="0.2">
      <c r="A46" s="308">
        <v>42</v>
      </c>
      <c r="B46" s="329" t="s">
        <v>693</v>
      </c>
      <c r="C46" s="309" t="s">
        <v>694</v>
      </c>
      <c r="D46" s="310">
        <v>44166</v>
      </c>
      <c r="E46" s="331" t="s">
        <v>622</v>
      </c>
      <c r="F46" s="311">
        <v>25000</v>
      </c>
      <c r="G46" s="312">
        <f t="shared" si="1"/>
        <v>1153.6686663590217</v>
      </c>
      <c r="H46" s="313">
        <v>15</v>
      </c>
      <c r="I46" s="312">
        <f t="shared" si="0"/>
        <v>17305.029995385325</v>
      </c>
    </row>
    <row r="47" spans="1:9" x14ac:dyDescent="0.2">
      <c r="A47" s="308">
        <v>43</v>
      </c>
      <c r="B47" s="329" t="s">
        <v>695</v>
      </c>
      <c r="C47" s="309" t="s">
        <v>696</v>
      </c>
      <c r="D47" s="310">
        <v>43598</v>
      </c>
      <c r="E47" s="331" t="s">
        <v>697</v>
      </c>
      <c r="F47" s="311">
        <v>50000</v>
      </c>
      <c r="G47" s="312">
        <f t="shared" si="1"/>
        <v>2307.3373327180434</v>
      </c>
      <c r="H47" s="313">
        <v>5</v>
      </c>
      <c r="I47" s="312">
        <f t="shared" si="0"/>
        <v>11536.686663590217</v>
      </c>
    </row>
    <row r="48" spans="1:9" ht="24" x14ac:dyDescent="0.2">
      <c r="A48" s="308">
        <v>44</v>
      </c>
      <c r="B48" s="329" t="s">
        <v>698</v>
      </c>
      <c r="C48" s="309" t="s">
        <v>699</v>
      </c>
      <c r="D48" s="310">
        <v>38231</v>
      </c>
      <c r="E48" s="331" t="s">
        <v>700</v>
      </c>
      <c r="F48" s="311">
        <v>80000</v>
      </c>
      <c r="G48" s="312">
        <f>F48/21.67</f>
        <v>3691.739732348869</v>
      </c>
      <c r="H48" s="313">
        <v>25</v>
      </c>
      <c r="I48" s="312">
        <f t="shared" si="0"/>
        <v>92293.493308721721</v>
      </c>
    </row>
    <row r="49" spans="1:9" ht="24" x14ac:dyDescent="0.2">
      <c r="A49" s="308">
        <v>45</v>
      </c>
      <c r="B49" s="329" t="s">
        <v>701</v>
      </c>
      <c r="C49" s="309" t="s">
        <v>702</v>
      </c>
      <c r="D49" s="310">
        <v>44958</v>
      </c>
      <c r="E49" s="331" t="s">
        <v>672</v>
      </c>
      <c r="F49" s="311">
        <v>45000</v>
      </c>
      <c r="G49" s="314">
        <f t="shared" si="1"/>
        <v>2076.6035994462391</v>
      </c>
      <c r="H49" s="313">
        <v>25</v>
      </c>
      <c r="I49" s="312">
        <f t="shared" si="0"/>
        <v>51915.089986155974</v>
      </c>
    </row>
    <row r="50" spans="1:9" x14ac:dyDescent="0.2">
      <c r="A50" s="308">
        <v>46</v>
      </c>
      <c r="B50" s="329" t="s">
        <v>703</v>
      </c>
      <c r="C50" s="309" t="s">
        <v>704</v>
      </c>
      <c r="D50" s="310">
        <v>44166</v>
      </c>
      <c r="E50" s="331" t="s">
        <v>705</v>
      </c>
      <c r="F50" s="311">
        <v>80000</v>
      </c>
      <c r="G50" s="312">
        <f t="shared" si="1"/>
        <v>3691.739732348869</v>
      </c>
      <c r="H50" s="313">
        <v>30</v>
      </c>
      <c r="I50" s="312">
        <f t="shared" si="0"/>
        <v>110752.19197046607</v>
      </c>
    </row>
    <row r="51" spans="1:9" ht="24" x14ac:dyDescent="0.2">
      <c r="A51" s="308">
        <v>47</v>
      </c>
      <c r="B51" s="329" t="s">
        <v>706</v>
      </c>
      <c r="C51" s="309" t="s">
        <v>707</v>
      </c>
      <c r="D51" s="310">
        <v>41730</v>
      </c>
      <c r="E51" s="331" t="s">
        <v>708</v>
      </c>
      <c r="F51" s="311">
        <v>15000</v>
      </c>
      <c r="G51" s="312">
        <f t="shared" si="1"/>
        <v>692.20119981541291</v>
      </c>
      <c r="H51" s="313">
        <v>0</v>
      </c>
      <c r="I51" s="312">
        <f t="shared" si="0"/>
        <v>0</v>
      </c>
    </row>
    <row r="52" spans="1:9" ht="24" x14ac:dyDescent="0.2">
      <c r="A52" s="308">
        <v>48</v>
      </c>
      <c r="B52" s="329" t="s">
        <v>709</v>
      </c>
      <c r="C52" s="309" t="s">
        <v>710</v>
      </c>
      <c r="D52" s="310">
        <v>44230</v>
      </c>
      <c r="E52" s="331" t="s">
        <v>672</v>
      </c>
      <c r="F52" s="311">
        <v>45000</v>
      </c>
      <c r="G52" s="312">
        <f t="shared" si="1"/>
        <v>2076.6035994462391</v>
      </c>
      <c r="H52" s="313">
        <v>20</v>
      </c>
      <c r="I52" s="312">
        <f t="shared" si="0"/>
        <v>41532.071988924785</v>
      </c>
    </row>
    <row r="53" spans="1:9" x14ac:dyDescent="0.2">
      <c r="A53" s="308">
        <v>49</v>
      </c>
      <c r="B53" s="329" t="s">
        <v>711</v>
      </c>
      <c r="C53" s="309" t="s">
        <v>712</v>
      </c>
      <c r="D53" s="310">
        <v>44136</v>
      </c>
      <c r="E53" s="331" t="s">
        <v>713</v>
      </c>
      <c r="F53" s="311">
        <v>200000</v>
      </c>
      <c r="G53" s="312">
        <f t="shared" si="1"/>
        <v>9229.3493308721736</v>
      </c>
      <c r="H53" s="313">
        <v>20</v>
      </c>
      <c r="I53" s="312">
        <f t="shared" si="0"/>
        <v>184586.98661744347</v>
      </c>
    </row>
    <row r="54" spans="1:9" x14ac:dyDescent="0.2">
      <c r="A54" s="308">
        <v>50</v>
      </c>
      <c r="B54" s="329" t="s">
        <v>714</v>
      </c>
      <c r="C54" s="309" t="s">
        <v>715</v>
      </c>
      <c r="D54" s="310">
        <v>44774</v>
      </c>
      <c r="E54" s="331" t="s">
        <v>602</v>
      </c>
      <c r="F54" s="311">
        <v>55000</v>
      </c>
      <c r="G54" s="312">
        <f t="shared" si="1"/>
        <v>2538.0710659898477</v>
      </c>
      <c r="H54" s="313">
        <v>14</v>
      </c>
      <c r="I54" s="312">
        <f t="shared" si="0"/>
        <v>35532.99492385787</v>
      </c>
    </row>
    <row r="55" spans="1:9" x14ac:dyDescent="0.2">
      <c r="A55" s="308">
        <v>51</v>
      </c>
      <c r="B55" s="329" t="s">
        <v>716</v>
      </c>
      <c r="C55" s="309" t="s">
        <v>717</v>
      </c>
      <c r="D55" s="310">
        <v>44089</v>
      </c>
      <c r="E55" s="331" t="s">
        <v>422</v>
      </c>
      <c r="F55" s="311">
        <v>140000</v>
      </c>
      <c r="G55" s="312">
        <f t="shared" si="1"/>
        <v>6460.5445316105206</v>
      </c>
      <c r="H55" s="313">
        <v>15</v>
      </c>
      <c r="I55" s="312">
        <f t="shared" si="0"/>
        <v>96908.167974157812</v>
      </c>
    </row>
    <row r="56" spans="1:9" x14ac:dyDescent="0.2">
      <c r="A56" s="308">
        <v>52</v>
      </c>
      <c r="B56" s="329" t="s">
        <v>718</v>
      </c>
      <c r="C56" s="309" t="s">
        <v>421</v>
      </c>
      <c r="D56" s="310">
        <v>36017</v>
      </c>
      <c r="E56" s="331" t="s">
        <v>422</v>
      </c>
      <c r="F56" s="311">
        <v>345000</v>
      </c>
      <c r="G56" s="312">
        <f t="shared" si="1"/>
        <v>15920.627595754499</v>
      </c>
      <c r="H56" s="313">
        <v>34</v>
      </c>
      <c r="I56" s="312">
        <f t="shared" si="0"/>
        <v>541301.33825565292</v>
      </c>
    </row>
    <row r="57" spans="1:9" x14ac:dyDescent="0.2">
      <c r="A57" s="308">
        <v>53</v>
      </c>
      <c r="B57" s="330" t="s">
        <v>719</v>
      </c>
      <c r="C57" s="309" t="s">
        <v>720</v>
      </c>
      <c r="D57" s="310">
        <v>45078</v>
      </c>
      <c r="E57" s="331" t="s">
        <v>605</v>
      </c>
      <c r="F57" s="311">
        <v>20000</v>
      </c>
      <c r="G57" s="312">
        <f t="shared" si="1"/>
        <v>922.93493308721725</v>
      </c>
      <c r="H57" s="313">
        <v>0</v>
      </c>
      <c r="I57" s="312">
        <f t="shared" si="0"/>
        <v>0</v>
      </c>
    </row>
    <row r="58" spans="1:9" x14ac:dyDescent="0.2">
      <c r="A58" s="308">
        <v>54</v>
      </c>
      <c r="B58" s="329" t="s">
        <v>721</v>
      </c>
      <c r="C58" s="309" t="s">
        <v>722</v>
      </c>
      <c r="D58" s="310">
        <v>42401</v>
      </c>
      <c r="E58" s="331" t="s">
        <v>602</v>
      </c>
      <c r="F58" s="311">
        <v>60000</v>
      </c>
      <c r="G58" s="312">
        <f t="shared" si="1"/>
        <v>2768.8047992616516</v>
      </c>
      <c r="H58" s="313">
        <v>15</v>
      </c>
      <c r="I58" s="312">
        <f t="shared" si="0"/>
        <v>41532.071988924778</v>
      </c>
    </row>
    <row r="59" spans="1:9" x14ac:dyDescent="0.2">
      <c r="A59" s="308">
        <v>55</v>
      </c>
      <c r="B59" s="329" t="s">
        <v>723</v>
      </c>
      <c r="C59" s="309" t="s">
        <v>724</v>
      </c>
      <c r="D59" s="310">
        <v>44652</v>
      </c>
      <c r="E59" s="331" t="s">
        <v>725</v>
      </c>
      <c r="F59" s="311">
        <v>35000</v>
      </c>
      <c r="G59" s="312">
        <f t="shared" si="1"/>
        <v>1615.1361329026302</v>
      </c>
      <c r="H59" s="313">
        <v>0</v>
      </c>
      <c r="I59" s="312">
        <f t="shared" si="0"/>
        <v>0</v>
      </c>
    </row>
    <row r="60" spans="1:9" x14ac:dyDescent="0.2">
      <c r="A60" s="308">
        <v>56</v>
      </c>
      <c r="B60" s="329" t="s">
        <v>726</v>
      </c>
      <c r="C60" s="309" t="s">
        <v>727</v>
      </c>
      <c r="D60" s="310">
        <v>44075</v>
      </c>
      <c r="E60" s="331" t="s">
        <v>728</v>
      </c>
      <c r="F60" s="311">
        <v>345000</v>
      </c>
      <c r="G60" s="312">
        <f t="shared" si="1"/>
        <v>15920.627595754499</v>
      </c>
      <c r="H60" s="313">
        <v>28</v>
      </c>
      <c r="I60" s="312">
        <f t="shared" si="0"/>
        <v>445777.57268112595</v>
      </c>
    </row>
    <row r="61" spans="1:9" ht="24" x14ac:dyDescent="0.2">
      <c r="A61" s="308">
        <v>57</v>
      </c>
      <c r="B61" s="329" t="s">
        <v>729</v>
      </c>
      <c r="C61" s="309" t="s">
        <v>730</v>
      </c>
      <c r="D61" s="310">
        <v>38657</v>
      </c>
      <c r="E61" s="331" t="s">
        <v>642</v>
      </c>
      <c r="F61" s="311">
        <v>32500</v>
      </c>
      <c r="G61" s="312">
        <f t="shared" si="1"/>
        <v>1499.769266266728</v>
      </c>
      <c r="H61" s="313">
        <v>30</v>
      </c>
      <c r="I61" s="312">
        <f t="shared" si="0"/>
        <v>44993.077988001838</v>
      </c>
    </row>
    <row r="62" spans="1:9" x14ac:dyDescent="0.2">
      <c r="A62" s="308">
        <v>58</v>
      </c>
      <c r="B62" s="329" t="s">
        <v>731</v>
      </c>
      <c r="C62" s="309" t="s">
        <v>732</v>
      </c>
      <c r="D62" s="310">
        <v>44136</v>
      </c>
      <c r="E62" s="331" t="s">
        <v>422</v>
      </c>
      <c r="F62" s="311">
        <v>200000</v>
      </c>
      <c r="G62" s="312">
        <f t="shared" si="1"/>
        <v>9229.3493308721736</v>
      </c>
      <c r="H62" s="313">
        <v>8</v>
      </c>
      <c r="I62" s="312">
        <f t="shared" si="0"/>
        <v>73834.794646977389</v>
      </c>
    </row>
    <row r="63" spans="1:9" x14ac:dyDescent="0.2">
      <c r="A63" s="308">
        <v>59</v>
      </c>
      <c r="B63" s="329" t="s">
        <v>733</v>
      </c>
      <c r="C63" s="309" t="s">
        <v>734</v>
      </c>
      <c r="D63" s="310">
        <v>44136</v>
      </c>
      <c r="E63" s="331" t="s">
        <v>593</v>
      </c>
      <c r="F63" s="311">
        <v>200000</v>
      </c>
      <c r="G63" s="312">
        <f t="shared" si="1"/>
        <v>9229.3493308721736</v>
      </c>
      <c r="H63" s="313">
        <v>30</v>
      </c>
      <c r="I63" s="312">
        <f t="shared" si="0"/>
        <v>276880.47992616519</v>
      </c>
    </row>
    <row r="64" spans="1:9" x14ac:dyDescent="0.2">
      <c r="A64" s="308">
        <v>60</v>
      </c>
      <c r="B64" s="329" t="s">
        <v>735</v>
      </c>
      <c r="C64" s="309" t="s">
        <v>736</v>
      </c>
      <c r="D64" s="310">
        <v>44348</v>
      </c>
      <c r="E64" s="331" t="s">
        <v>602</v>
      </c>
      <c r="F64" s="311">
        <v>60000</v>
      </c>
      <c r="G64" s="312">
        <f t="shared" si="1"/>
        <v>2768.8047992616516</v>
      </c>
      <c r="H64" s="313">
        <v>10</v>
      </c>
      <c r="I64" s="312">
        <f t="shared" si="0"/>
        <v>27688.047992616517</v>
      </c>
    </row>
    <row r="65" spans="1:9" x14ac:dyDescent="0.2">
      <c r="A65" s="308">
        <v>61</v>
      </c>
      <c r="B65" s="329" t="s">
        <v>737</v>
      </c>
      <c r="C65" s="309" t="s">
        <v>738</v>
      </c>
      <c r="D65" s="310">
        <v>44151</v>
      </c>
      <c r="E65" s="331" t="s">
        <v>627</v>
      </c>
      <c r="F65" s="311">
        <v>85000</v>
      </c>
      <c r="G65" s="312">
        <f t="shared" si="1"/>
        <v>3922.4734656206733</v>
      </c>
      <c r="H65" s="313">
        <v>10</v>
      </c>
      <c r="I65" s="312">
        <f t="shared" si="0"/>
        <v>39224.734656206732</v>
      </c>
    </row>
    <row r="66" spans="1:9" x14ac:dyDescent="0.2">
      <c r="A66" s="308">
        <v>62</v>
      </c>
      <c r="B66" s="329" t="s">
        <v>739</v>
      </c>
      <c r="C66" s="309" t="s">
        <v>740</v>
      </c>
      <c r="D66" s="310">
        <v>44348</v>
      </c>
      <c r="E66" s="331" t="s">
        <v>422</v>
      </c>
      <c r="F66" s="311">
        <v>110000</v>
      </c>
      <c r="G66" s="312">
        <f t="shared" si="1"/>
        <v>5076.1421319796955</v>
      </c>
      <c r="H66" s="313">
        <v>0</v>
      </c>
      <c r="I66" s="312">
        <f t="shared" si="0"/>
        <v>0</v>
      </c>
    </row>
    <row r="67" spans="1:9" x14ac:dyDescent="0.2">
      <c r="A67" s="308">
        <v>63</v>
      </c>
      <c r="B67" s="329" t="s">
        <v>741</v>
      </c>
      <c r="C67" s="309" t="s">
        <v>742</v>
      </c>
      <c r="D67" s="310">
        <v>41275</v>
      </c>
      <c r="E67" s="331" t="s">
        <v>653</v>
      </c>
      <c r="F67" s="311">
        <v>70200</v>
      </c>
      <c r="G67" s="312">
        <f t="shared" si="1"/>
        <v>3239.5016151361328</v>
      </c>
      <c r="H67" s="313">
        <v>27</v>
      </c>
      <c r="I67" s="312">
        <f t="shared" si="0"/>
        <v>87466.54360867558</v>
      </c>
    </row>
    <row r="68" spans="1:9" x14ac:dyDescent="0.2">
      <c r="A68" s="308">
        <v>64</v>
      </c>
      <c r="B68" s="329" t="s">
        <v>743</v>
      </c>
      <c r="C68" s="309" t="s">
        <v>744</v>
      </c>
      <c r="D68" s="310">
        <v>44470</v>
      </c>
      <c r="E68" s="331" t="s">
        <v>745</v>
      </c>
      <c r="F68" s="311">
        <v>35000</v>
      </c>
      <c r="G68" s="312">
        <f t="shared" si="1"/>
        <v>1615.1361329026302</v>
      </c>
      <c r="H68" s="313">
        <v>19</v>
      </c>
      <c r="I68" s="312">
        <f t="shared" si="0"/>
        <v>30687.586525149974</v>
      </c>
    </row>
    <row r="69" spans="1:9" ht="24" x14ac:dyDescent="0.2">
      <c r="A69" s="308">
        <v>65</v>
      </c>
      <c r="B69" s="329" t="s">
        <v>746</v>
      </c>
      <c r="C69" s="309" t="s">
        <v>747</v>
      </c>
      <c r="D69" s="310">
        <v>44470</v>
      </c>
      <c r="E69" s="331" t="s">
        <v>748</v>
      </c>
      <c r="F69" s="311">
        <v>20000</v>
      </c>
      <c r="G69" s="312">
        <f t="shared" si="1"/>
        <v>922.93493308721725</v>
      </c>
      <c r="H69" s="313">
        <v>5</v>
      </c>
      <c r="I69" s="312">
        <f t="shared" ref="I69:I92" si="2">G69*H69</f>
        <v>4614.6746654360859</v>
      </c>
    </row>
    <row r="70" spans="1:9" ht="24" x14ac:dyDescent="0.2">
      <c r="A70" s="308">
        <v>66</v>
      </c>
      <c r="B70" s="329" t="s">
        <v>749</v>
      </c>
      <c r="C70" s="309" t="s">
        <v>750</v>
      </c>
      <c r="D70" s="310">
        <v>38231</v>
      </c>
      <c r="E70" s="331" t="s">
        <v>632</v>
      </c>
      <c r="F70" s="311">
        <v>81000</v>
      </c>
      <c r="G70" s="312">
        <f t="shared" ref="G70:G92" si="3">F70/21.67</f>
        <v>3737.8864790032299</v>
      </c>
      <c r="H70" s="313">
        <v>25</v>
      </c>
      <c r="I70" s="312">
        <f t="shared" si="2"/>
        <v>93447.161975080744</v>
      </c>
    </row>
    <row r="71" spans="1:9" x14ac:dyDescent="0.2">
      <c r="A71" s="308">
        <v>67</v>
      </c>
      <c r="B71" s="329" t="s">
        <v>751</v>
      </c>
      <c r="C71" s="309" t="s">
        <v>752</v>
      </c>
      <c r="D71" s="310">
        <v>42248</v>
      </c>
      <c r="E71" s="331" t="s">
        <v>753</v>
      </c>
      <c r="F71" s="311">
        <v>26700</v>
      </c>
      <c r="G71" s="312">
        <f t="shared" si="3"/>
        <v>1232.1181356714351</v>
      </c>
      <c r="H71" s="313">
        <v>15</v>
      </c>
      <c r="I71" s="312">
        <f t="shared" si="2"/>
        <v>18481.772035071524</v>
      </c>
    </row>
    <row r="72" spans="1:9" ht="24" x14ac:dyDescent="0.2">
      <c r="A72" s="308">
        <v>68</v>
      </c>
      <c r="B72" s="329" t="s">
        <v>754</v>
      </c>
      <c r="C72" s="309" t="s">
        <v>755</v>
      </c>
      <c r="D72" s="310">
        <v>39845</v>
      </c>
      <c r="E72" s="331" t="s">
        <v>756</v>
      </c>
      <c r="F72" s="311">
        <v>68800</v>
      </c>
      <c r="G72" s="312">
        <f t="shared" si="3"/>
        <v>3174.8961698200274</v>
      </c>
      <c r="H72" s="313">
        <v>25</v>
      </c>
      <c r="I72" s="312">
        <f t="shared" si="2"/>
        <v>79372.404245500686</v>
      </c>
    </row>
    <row r="73" spans="1:9" x14ac:dyDescent="0.2">
      <c r="A73" s="308">
        <v>69</v>
      </c>
      <c r="B73" s="329" t="s">
        <v>757</v>
      </c>
      <c r="C73" s="309" t="s">
        <v>758</v>
      </c>
      <c r="D73" s="310">
        <v>44088</v>
      </c>
      <c r="E73" s="331" t="s">
        <v>422</v>
      </c>
      <c r="F73" s="311">
        <v>200000</v>
      </c>
      <c r="G73" s="312">
        <f t="shared" si="3"/>
        <v>9229.3493308721736</v>
      </c>
      <c r="H73" s="313">
        <v>10</v>
      </c>
      <c r="I73" s="312">
        <f t="shared" si="2"/>
        <v>92293.493308721736</v>
      </c>
    </row>
    <row r="74" spans="1:9" ht="24" x14ac:dyDescent="0.2">
      <c r="A74" s="308">
        <v>70</v>
      </c>
      <c r="B74" s="329" t="s">
        <v>759</v>
      </c>
      <c r="C74" s="309" t="s">
        <v>760</v>
      </c>
      <c r="D74" s="310">
        <v>40087</v>
      </c>
      <c r="E74" s="331" t="s">
        <v>761</v>
      </c>
      <c r="F74" s="311">
        <v>140000</v>
      </c>
      <c r="G74" s="312">
        <f t="shared" si="3"/>
        <v>6460.5445316105206</v>
      </c>
      <c r="H74" s="313">
        <v>25</v>
      </c>
      <c r="I74" s="312">
        <f t="shared" si="2"/>
        <v>161513.61329026302</v>
      </c>
    </row>
    <row r="75" spans="1:9" x14ac:dyDescent="0.2">
      <c r="A75" s="308">
        <v>71</v>
      </c>
      <c r="B75" s="329" t="s">
        <v>762</v>
      </c>
      <c r="C75" s="309" t="s">
        <v>763</v>
      </c>
      <c r="D75" s="310">
        <v>44774</v>
      </c>
      <c r="E75" s="331" t="s">
        <v>622</v>
      </c>
      <c r="F75" s="311">
        <v>25000</v>
      </c>
      <c r="G75" s="312">
        <f t="shared" si="3"/>
        <v>1153.6686663590217</v>
      </c>
      <c r="H75" s="313">
        <v>14</v>
      </c>
      <c r="I75" s="312">
        <f t="shared" si="2"/>
        <v>16151.361329026304</v>
      </c>
    </row>
    <row r="76" spans="1:9" x14ac:dyDescent="0.2">
      <c r="A76" s="308">
        <v>72</v>
      </c>
      <c r="B76" s="329" t="s">
        <v>764</v>
      </c>
      <c r="C76" s="309" t="s">
        <v>765</v>
      </c>
      <c r="D76" s="310">
        <v>44348</v>
      </c>
      <c r="E76" s="331" t="s">
        <v>602</v>
      </c>
      <c r="F76" s="311">
        <v>60000</v>
      </c>
      <c r="G76" s="312">
        <f t="shared" si="3"/>
        <v>2768.8047992616516</v>
      </c>
      <c r="H76" s="313">
        <v>15</v>
      </c>
      <c r="I76" s="312">
        <f t="shared" si="2"/>
        <v>41532.071988924778</v>
      </c>
    </row>
    <row r="77" spans="1:9" x14ac:dyDescent="0.2">
      <c r="A77" s="308">
        <v>73</v>
      </c>
      <c r="B77" s="329" t="s">
        <v>766</v>
      </c>
      <c r="C77" s="309" t="s">
        <v>767</v>
      </c>
      <c r="D77" s="310">
        <v>44835</v>
      </c>
      <c r="E77" s="331" t="s">
        <v>725</v>
      </c>
      <c r="F77" s="311">
        <v>20000</v>
      </c>
      <c r="G77" s="312">
        <f t="shared" si="3"/>
        <v>922.93493308721725</v>
      </c>
      <c r="H77" s="313">
        <v>13</v>
      </c>
      <c r="I77" s="312">
        <f t="shared" si="2"/>
        <v>11998.154130133824</v>
      </c>
    </row>
    <row r="78" spans="1:9" ht="24" x14ac:dyDescent="0.2">
      <c r="A78" s="308">
        <v>74</v>
      </c>
      <c r="B78" s="329" t="s">
        <v>768</v>
      </c>
      <c r="C78" s="309" t="s">
        <v>769</v>
      </c>
      <c r="D78" s="310">
        <v>42644</v>
      </c>
      <c r="E78" s="331" t="s">
        <v>770</v>
      </c>
      <c r="F78" s="311">
        <v>32500</v>
      </c>
      <c r="G78" s="312">
        <f t="shared" si="3"/>
        <v>1499.769266266728</v>
      </c>
      <c r="H78" s="313">
        <v>15</v>
      </c>
      <c r="I78" s="312">
        <f t="shared" si="2"/>
        <v>22496.538994000919</v>
      </c>
    </row>
    <row r="79" spans="1:9" ht="24" x14ac:dyDescent="0.2">
      <c r="A79" s="308">
        <v>75</v>
      </c>
      <c r="B79" s="329" t="s">
        <v>771</v>
      </c>
      <c r="C79" s="309" t="s">
        <v>772</v>
      </c>
      <c r="D79" s="310">
        <v>44448</v>
      </c>
      <c r="E79" s="331" t="s">
        <v>672</v>
      </c>
      <c r="F79" s="311">
        <v>45000</v>
      </c>
      <c r="G79" s="312">
        <f t="shared" si="3"/>
        <v>2076.6035994462391</v>
      </c>
      <c r="H79" s="313">
        <v>15</v>
      </c>
      <c r="I79" s="312">
        <f t="shared" si="2"/>
        <v>31149.053991693585</v>
      </c>
    </row>
    <row r="80" spans="1:9" x14ac:dyDescent="0.2">
      <c r="A80" s="308">
        <v>76</v>
      </c>
      <c r="B80" s="329" t="s">
        <v>773</v>
      </c>
      <c r="C80" s="309" t="s">
        <v>774</v>
      </c>
      <c r="D80" s="310">
        <v>40148</v>
      </c>
      <c r="E80" s="331" t="s">
        <v>753</v>
      </c>
      <c r="F80" s="311">
        <v>26700</v>
      </c>
      <c r="G80" s="312">
        <f t="shared" si="3"/>
        <v>1232.1181356714351</v>
      </c>
      <c r="H80" s="313">
        <v>5</v>
      </c>
      <c r="I80" s="312">
        <f t="shared" si="2"/>
        <v>6160.5906783571754</v>
      </c>
    </row>
    <row r="81" spans="1:9" ht="24" x14ac:dyDescent="0.2">
      <c r="A81" s="308">
        <v>77</v>
      </c>
      <c r="B81" s="329" t="s">
        <v>775</v>
      </c>
      <c r="C81" s="309" t="s">
        <v>776</v>
      </c>
      <c r="D81" s="310">
        <v>44958</v>
      </c>
      <c r="E81" s="331" t="s">
        <v>642</v>
      </c>
      <c r="F81" s="311">
        <v>35000</v>
      </c>
      <c r="G81" s="314">
        <f t="shared" si="3"/>
        <v>1615.1361329026302</v>
      </c>
      <c r="H81" s="313">
        <v>10</v>
      </c>
      <c r="I81" s="312">
        <f t="shared" si="2"/>
        <v>16151.361329026302</v>
      </c>
    </row>
    <row r="82" spans="1:9" x14ac:dyDescent="0.2">
      <c r="A82" s="308">
        <v>78</v>
      </c>
      <c r="B82" s="329" t="s">
        <v>777</v>
      </c>
      <c r="C82" s="309" t="s">
        <v>778</v>
      </c>
      <c r="D82" s="310">
        <v>44713</v>
      </c>
      <c r="E82" s="331" t="s">
        <v>605</v>
      </c>
      <c r="F82" s="311">
        <v>20000</v>
      </c>
      <c r="G82" s="312">
        <f t="shared" si="3"/>
        <v>922.93493308721725</v>
      </c>
      <c r="H82" s="313">
        <v>0</v>
      </c>
      <c r="I82" s="312">
        <f t="shared" si="2"/>
        <v>0</v>
      </c>
    </row>
    <row r="83" spans="1:9" x14ac:dyDescent="0.2">
      <c r="A83" s="308">
        <v>79</v>
      </c>
      <c r="B83" s="329" t="s">
        <v>779</v>
      </c>
      <c r="C83" s="309" t="s">
        <v>780</v>
      </c>
      <c r="D83" s="310">
        <v>41153</v>
      </c>
      <c r="E83" s="331" t="s">
        <v>781</v>
      </c>
      <c r="F83" s="311">
        <v>345000</v>
      </c>
      <c r="G83" s="312">
        <f t="shared" si="3"/>
        <v>15920.627595754499</v>
      </c>
      <c r="H83" s="313">
        <v>29</v>
      </c>
      <c r="I83" s="312">
        <f t="shared" si="2"/>
        <v>461698.20027688047</v>
      </c>
    </row>
    <row r="84" spans="1:9" x14ac:dyDescent="0.2">
      <c r="A84" s="308">
        <v>80</v>
      </c>
      <c r="B84" s="329" t="s">
        <v>782</v>
      </c>
      <c r="C84" s="309" t="s">
        <v>783</v>
      </c>
      <c r="D84" s="310">
        <v>39845</v>
      </c>
      <c r="E84" s="331" t="s">
        <v>422</v>
      </c>
      <c r="F84" s="311">
        <v>90000</v>
      </c>
      <c r="G84" s="312">
        <f t="shared" si="3"/>
        <v>4153.2071988924781</v>
      </c>
      <c r="H84" s="313">
        <v>20</v>
      </c>
      <c r="I84" s="312">
        <f t="shared" si="2"/>
        <v>83064.14397784957</v>
      </c>
    </row>
    <row r="85" spans="1:9" x14ac:dyDescent="0.2">
      <c r="A85" s="308">
        <v>81</v>
      </c>
      <c r="B85" s="329" t="s">
        <v>784</v>
      </c>
      <c r="C85" s="309" t="s">
        <v>785</v>
      </c>
      <c r="D85" s="310">
        <v>44470</v>
      </c>
      <c r="E85" s="331" t="s">
        <v>602</v>
      </c>
      <c r="F85" s="311">
        <v>60000</v>
      </c>
      <c r="G85" s="312">
        <f t="shared" si="3"/>
        <v>2768.8047992616516</v>
      </c>
      <c r="H85" s="313">
        <v>15</v>
      </c>
      <c r="I85" s="312">
        <f t="shared" si="2"/>
        <v>41532.071988924778</v>
      </c>
    </row>
    <row r="86" spans="1:9" ht="24" x14ac:dyDescent="0.2">
      <c r="A86" s="308">
        <v>82</v>
      </c>
      <c r="B86" s="329" t="s">
        <v>786</v>
      </c>
      <c r="C86" s="316" t="s">
        <v>787</v>
      </c>
      <c r="D86" s="317">
        <v>44459</v>
      </c>
      <c r="E86" s="332" t="s">
        <v>788</v>
      </c>
      <c r="F86" s="318">
        <v>80000</v>
      </c>
      <c r="G86" s="312">
        <f t="shared" si="3"/>
        <v>3691.739732348869</v>
      </c>
      <c r="H86" s="313">
        <v>20</v>
      </c>
      <c r="I86" s="312">
        <f t="shared" si="2"/>
        <v>73834.794646977374</v>
      </c>
    </row>
    <row r="87" spans="1:9" ht="24" x14ac:dyDescent="0.2">
      <c r="A87" s="308">
        <v>83</v>
      </c>
      <c r="B87" s="329" t="s">
        <v>789</v>
      </c>
      <c r="C87" s="309" t="s">
        <v>790</v>
      </c>
      <c r="D87" s="310">
        <v>38392</v>
      </c>
      <c r="E87" s="331" t="s">
        <v>679</v>
      </c>
      <c r="F87" s="311">
        <v>60000</v>
      </c>
      <c r="G87" s="312">
        <f t="shared" si="3"/>
        <v>2768.8047992616516</v>
      </c>
      <c r="H87" s="313">
        <v>25</v>
      </c>
      <c r="I87" s="312">
        <f t="shared" si="2"/>
        <v>69220.119981541284</v>
      </c>
    </row>
    <row r="88" spans="1:9" x14ac:dyDescent="0.2">
      <c r="A88" s="308">
        <v>84</v>
      </c>
      <c r="B88" s="329" t="s">
        <v>791</v>
      </c>
      <c r="C88" s="309" t="s">
        <v>792</v>
      </c>
      <c r="D88" s="310">
        <v>38272</v>
      </c>
      <c r="E88" s="331" t="s">
        <v>793</v>
      </c>
      <c r="F88" s="311">
        <v>150000</v>
      </c>
      <c r="G88" s="312">
        <f t="shared" si="3"/>
        <v>6922.0119981541293</v>
      </c>
      <c r="H88" s="313">
        <v>26</v>
      </c>
      <c r="I88" s="312">
        <f t="shared" si="2"/>
        <v>179972.31195200735</v>
      </c>
    </row>
    <row r="89" spans="1:9" x14ac:dyDescent="0.2">
      <c r="A89" s="308">
        <v>85</v>
      </c>
      <c r="B89" s="329" t="s">
        <v>794</v>
      </c>
      <c r="C89" s="309" t="s">
        <v>795</v>
      </c>
      <c r="D89" s="310">
        <v>44713</v>
      </c>
      <c r="E89" s="331" t="s">
        <v>605</v>
      </c>
      <c r="F89" s="311">
        <v>20000</v>
      </c>
      <c r="G89" s="312">
        <f t="shared" si="3"/>
        <v>922.93493308721725</v>
      </c>
      <c r="H89" s="313">
        <v>15</v>
      </c>
      <c r="I89" s="312">
        <f t="shared" si="2"/>
        <v>13844.023996308259</v>
      </c>
    </row>
    <row r="90" spans="1:9" x14ac:dyDescent="0.2">
      <c r="A90" s="308">
        <v>86</v>
      </c>
      <c r="B90" s="329" t="s">
        <v>796</v>
      </c>
      <c r="C90" s="309" t="s">
        <v>797</v>
      </c>
      <c r="D90" s="310">
        <v>42767</v>
      </c>
      <c r="E90" s="331" t="s">
        <v>422</v>
      </c>
      <c r="F90" s="311">
        <v>95000</v>
      </c>
      <c r="G90" s="312">
        <f t="shared" si="3"/>
        <v>4383.9409321642825</v>
      </c>
      <c r="H90" s="313">
        <v>15</v>
      </c>
      <c r="I90" s="312">
        <f t="shared" si="2"/>
        <v>65759.113982464231</v>
      </c>
    </row>
    <row r="91" spans="1:9" x14ac:dyDescent="0.2">
      <c r="A91" s="308">
        <v>87</v>
      </c>
      <c r="B91" s="329" t="s">
        <v>798</v>
      </c>
      <c r="C91" s="309" t="s">
        <v>799</v>
      </c>
      <c r="D91" s="310">
        <v>43252</v>
      </c>
      <c r="E91" s="331" t="s">
        <v>622</v>
      </c>
      <c r="F91" s="311">
        <v>25000</v>
      </c>
      <c r="G91" s="312">
        <f t="shared" si="3"/>
        <v>1153.6686663590217</v>
      </c>
      <c r="H91" s="313">
        <v>15</v>
      </c>
      <c r="I91" s="312">
        <f t="shared" si="2"/>
        <v>17305.029995385325</v>
      </c>
    </row>
    <row r="92" spans="1:9" x14ac:dyDescent="0.2">
      <c r="A92" s="308">
        <v>88</v>
      </c>
      <c r="B92" s="329" t="s">
        <v>800</v>
      </c>
      <c r="C92" s="309" t="s">
        <v>801</v>
      </c>
      <c r="D92" s="310">
        <v>41275</v>
      </c>
      <c r="E92" s="331" t="s">
        <v>602</v>
      </c>
      <c r="F92" s="311">
        <v>60000</v>
      </c>
      <c r="G92" s="312">
        <f t="shared" si="3"/>
        <v>2768.8047992616516</v>
      </c>
      <c r="H92" s="313">
        <v>27</v>
      </c>
      <c r="I92" s="312">
        <f t="shared" si="2"/>
        <v>74757.729580064595</v>
      </c>
    </row>
    <row r="93" spans="1:9" ht="18.75" customHeight="1" x14ac:dyDescent="0.2">
      <c r="A93" s="315"/>
      <c r="B93" s="315"/>
      <c r="C93" s="315"/>
      <c r="D93" s="319"/>
      <c r="E93" s="320"/>
      <c r="F93" s="315"/>
      <c r="G93" s="315"/>
      <c r="H93" s="326" t="s">
        <v>804</v>
      </c>
      <c r="I93" s="322">
        <f>SUM(I5:I92)</f>
        <v>7323068.7586525157</v>
      </c>
    </row>
    <row r="94" spans="1:9" x14ac:dyDescent="0.2">
      <c r="I94" s="251" t="s">
        <v>802</v>
      </c>
    </row>
    <row r="95" spans="1:9" ht="13.5" thickBot="1" x14ac:dyDescent="0.25">
      <c r="H95" s="327" t="s">
        <v>805</v>
      </c>
      <c r="I95" s="324">
        <f>+I93/12</f>
        <v>610255.7298877096</v>
      </c>
    </row>
    <row r="96" spans="1:9" ht="13.5" thickTop="1" x14ac:dyDescent="0.2">
      <c r="F96" s="323"/>
    </row>
    <row r="97" spans="5:6" ht="25.5" x14ac:dyDescent="0.2">
      <c r="E97" s="325" t="s">
        <v>803</v>
      </c>
      <c r="F97" s="323">
        <v>787437</v>
      </c>
    </row>
    <row r="98" spans="5:6" ht="25.5" x14ac:dyDescent="0.2">
      <c r="E98" s="325" t="s">
        <v>806</v>
      </c>
      <c r="F98" s="323">
        <f>-I95</f>
        <v>-610255.7298877096</v>
      </c>
    </row>
    <row r="99" spans="5:6" ht="18.75" customHeight="1" thickBot="1" x14ac:dyDescent="0.25">
      <c r="E99" s="325" t="s">
        <v>807</v>
      </c>
      <c r="F99" s="328">
        <f>SUM(F97:F98)</f>
        <v>177181.2701122904</v>
      </c>
    </row>
    <row r="100" spans="5:6" ht="13.5" thickTop="1" x14ac:dyDescent="0.2">
      <c r="F100" s="323"/>
    </row>
    <row r="101" spans="5:6" x14ac:dyDescent="0.2">
      <c r="F101" s="323"/>
    </row>
    <row r="102" spans="5:6" x14ac:dyDescent="0.2">
      <c r="F102" s="323"/>
    </row>
    <row r="103" spans="5:6" x14ac:dyDescent="0.2">
      <c r="F103" s="323"/>
    </row>
    <row r="104" spans="5:6" x14ac:dyDescent="0.2">
      <c r="F104" s="323"/>
    </row>
    <row r="105" spans="5:6" x14ac:dyDescent="0.2">
      <c r="F105" s="323"/>
    </row>
  </sheetData>
  <mergeCells count="1">
    <mergeCell ref="A2:I3"/>
  </mergeCells>
  <pageMargins left="0.70866141732283472" right="0.70866141732283472" top="0.74803149606299213" bottom="0.74803149606299213" header="0.31496062992125984" footer="0.31496062992125984"/>
  <pageSetup scale="65" fitToHeight="2" orientation="portrait" horizontalDpi="4294967293" r:id="rId1"/>
  <headerFooter>
    <oddHeader>&amp;C&amp;"Arial,Negrita"&amp;20FONPER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3"/>
  <sheetViews>
    <sheetView workbookViewId="0">
      <selection activeCell="B7" sqref="B7"/>
    </sheetView>
  </sheetViews>
  <sheetFormatPr baseColWidth="10" defaultColWidth="11.5703125" defaultRowHeight="24.75" customHeight="1" x14ac:dyDescent="0.2"/>
  <cols>
    <col min="1" max="1" width="11.5703125" style="1" customWidth="1"/>
    <col min="2" max="2" width="42.5703125" style="1" customWidth="1"/>
    <col min="3" max="3" width="21.7109375" style="1" customWidth="1"/>
    <col min="4" max="16384" width="11.5703125" style="1"/>
  </cols>
  <sheetData>
    <row r="3" spans="2:3" ht="24.75" customHeight="1" x14ac:dyDescent="0.25">
      <c r="B3" s="398" t="s">
        <v>333</v>
      </c>
      <c r="C3" s="398"/>
    </row>
    <row r="4" spans="2:3" ht="24.75" customHeight="1" x14ac:dyDescent="0.25">
      <c r="B4" s="398" t="s">
        <v>227</v>
      </c>
      <c r="C4" s="398"/>
    </row>
    <row r="5" spans="2:3" ht="24.75" customHeight="1" x14ac:dyDescent="0.25">
      <c r="B5" s="398" t="s">
        <v>287</v>
      </c>
      <c r="C5" s="398"/>
    </row>
    <row r="6" spans="2:3" ht="24.75" customHeight="1" x14ac:dyDescent="0.25">
      <c r="B6" s="399">
        <v>45138</v>
      </c>
      <c r="C6" s="399"/>
    </row>
    <row r="7" spans="2:3" ht="24.75" customHeight="1" thickBot="1" x14ac:dyDescent="0.3">
      <c r="B7" s="24"/>
      <c r="C7" s="24"/>
    </row>
    <row r="8" spans="2:3" ht="24.75" customHeight="1" thickBot="1" x14ac:dyDescent="0.3">
      <c r="B8" s="30" t="s">
        <v>208</v>
      </c>
      <c r="C8" s="31" t="s">
        <v>212</v>
      </c>
    </row>
    <row r="9" spans="2:3" ht="24.75" customHeight="1" x14ac:dyDescent="0.2">
      <c r="B9" s="43" t="s">
        <v>284</v>
      </c>
      <c r="C9" s="39">
        <v>0</v>
      </c>
    </row>
    <row r="10" spans="2:3" ht="24.75" customHeight="1" x14ac:dyDescent="0.2">
      <c r="B10" s="44" t="s">
        <v>285</v>
      </c>
      <c r="C10" s="40">
        <v>0</v>
      </c>
    </row>
    <row r="11" spans="2:3" ht="24.75" customHeight="1" x14ac:dyDescent="0.35">
      <c r="B11" s="44" t="s">
        <v>286</v>
      </c>
      <c r="C11" s="41">
        <v>0</v>
      </c>
    </row>
    <row r="12" spans="2:3" ht="24.75" customHeight="1" x14ac:dyDescent="0.4">
      <c r="B12" s="44"/>
      <c r="C12" s="42">
        <f>SUM(C9:C11)</f>
        <v>0</v>
      </c>
    </row>
    <row r="13" spans="2:3" ht="24.75" customHeight="1" thickBot="1" x14ac:dyDescent="0.25">
      <c r="B13" s="53"/>
      <c r="C13" s="55"/>
    </row>
  </sheetData>
  <mergeCells count="4">
    <mergeCell ref="B4:C4"/>
    <mergeCell ref="B3:C3"/>
    <mergeCell ref="B5:C5"/>
    <mergeCell ref="B6:C6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="140" zoomScaleNormal="140" workbookViewId="0">
      <selection activeCell="A3" sqref="A3"/>
    </sheetView>
  </sheetViews>
  <sheetFormatPr baseColWidth="10" defaultRowHeight="12.75" x14ac:dyDescent="0.2"/>
  <sheetData>
    <row r="1" spans="1:2" x14ac:dyDescent="0.2">
      <c r="B1" t="s">
        <v>188</v>
      </c>
    </row>
    <row r="3" spans="1:2" x14ac:dyDescent="0.2">
      <c r="A3">
        <v>1</v>
      </c>
      <c r="B3" t="s">
        <v>184</v>
      </c>
    </row>
    <row r="4" spans="1:2" x14ac:dyDescent="0.2">
      <c r="A4">
        <v>2</v>
      </c>
      <c r="B4" t="s">
        <v>189</v>
      </c>
    </row>
    <row r="5" spans="1:2" x14ac:dyDescent="0.2">
      <c r="A5">
        <v>3</v>
      </c>
      <c r="B5" t="s">
        <v>192</v>
      </c>
    </row>
    <row r="6" spans="1:2" x14ac:dyDescent="0.2">
      <c r="A6">
        <v>4</v>
      </c>
      <c r="B6" t="s">
        <v>190</v>
      </c>
    </row>
    <row r="7" spans="1:2" x14ac:dyDescent="0.2">
      <c r="A7">
        <v>5</v>
      </c>
      <c r="B7" t="s">
        <v>185</v>
      </c>
    </row>
    <row r="8" spans="1:2" x14ac:dyDescent="0.2">
      <c r="A8">
        <v>6</v>
      </c>
      <c r="B8" t="s">
        <v>186</v>
      </c>
    </row>
    <row r="9" spans="1:2" x14ac:dyDescent="0.2">
      <c r="A9">
        <v>7</v>
      </c>
      <c r="B9" t="s">
        <v>187</v>
      </c>
    </row>
    <row r="10" spans="1:2" x14ac:dyDescent="0.2">
      <c r="A10">
        <v>8</v>
      </c>
      <c r="B10" t="s">
        <v>197</v>
      </c>
    </row>
    <row r="11" spans="1:2" x14ac:dyDescent="0.2">
      <c r="A11">
        <v>9</v>
      </c>
      <c r="B11" t="s">
        <v>191</v>
      </c>
    </row>
    <row r="12" spans="1:2" x14ac:dyDescent="0.2">
      <c r="A12">
        <v>10</v>
      </c>
      <c r="B12" t="s">
        <v>196</v>
      </c>
    </row>
    <row r="13" spans="1:2" x14ac:dyDescent="0.2">
      <c r="A13">
        <v>11</v>
      </c>
      <c r="B13" t="s">
        <v>193</v>
      </c>
    </row>
    <row r="14" spans="1:2" x14ac:dyDescent="0.2">
      <c r="A14">
        <v>12</v>
      </c>
      <c r="B14" t="s">
        <v>194</v>
      </c>
    </row>
    <row r="16" spans="1:2" x14ac:dyDescent="0.2">
      <c r="B16" t="s">
        <v>195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1" sqref="C11"/>
    </sheetView>
  </sheetViews>
  <sheetFormatPr baseColWidth="10" defaultRowHeight="12.75" x14ac:dyDescent="0.2"/>
  <sheetData/>
  <pageMargins left="0.7" right="0.7" top="0.75" bottom="0.75" header="0.3" footer="0.3"/>
  <pageSetup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K263"/>
  <sheetViews>
    <sheetView view="pageBreakPreview" topLeftCell="A32" zoomScale="90" zoomScaleNormal="110" zoomScaleSheetLayoutView="90" workbookViewId="0">
      <selection activeCell="B9" sqref="B9"/>
    </sheetView>
  </sheetViews>
  <sheetFormatPr baseColWidth="10" defaultColWidth="11.5703125" defaultRowHeight="15" x14ac:dyDescent="0.2"/>
  <cols>
    <col min="1" max="1" width="3.7109375" style="1" customWidth="1"/>
    <col min="2" max="2" width="67.140625" style="1" customWidth="1"/>
    <col min="3" max="3" width="12.140625" style="14" customWidth="1"/>
    <col min="4" max="5" width="29.42578125" style="2" bestFit="1" customWidth="1"/>
    <col min="6" max="6" width="24.7109375" style="2" bestFit="1" customWidth="1"/>
    <col min="7" max="7" width="16.42578125" style="1" bestFit="1" customWidth="1"/>
    <col min="8" max="8" width="38.140625" style="1" customWidth="1"/>
    <col min="9" max="9" width="19.7109375" style="1" bestFit="1" customWidth="1"/>
    <col min="10" max="10" width="16.42578125" style="1" bestFit="1" customWidth="1"/>
    <col min="11" max="11" width="14.42578125" style="1" bestFit="1" customWidth="1"/>
    <col min="12" max="16384" width="11.5703125" style="1"/>
  </cols>
  <sheetData>
    <row r="1" spans="2:10" x14ac:dyDescent="0.2">
      <c r="B1" s="152"/>
      <c r="C1" s="338"/>
      <c r="D1" s="339"/>
      <c r="E1" s="339"/>
      <c r="F1" s="339"/>
    </row>
    <row r="2" spans="2:10" x14ac:dyDescent="0.2">
      <c r="D2" s="1"/>
      <c r="E2" s="1"/>
      <c r="F2" s="1"/>
    </row>
    <row r="3" spans="2:10" x14ac:dyDescent="0.2">
      <c r="D3" s="1"/>
      <c r="E3" s="1"/>
      <c r="F3" s="1"/>
    </row>
    <row r="4" spans="2:10" x14ac:dyDescent="0.2">
      <c r="D4" s="1"/>
      <c r="E4" s="1"/>
      <c r="F4" s="1"/>
    </row>
    <row r="5" spans="2:10" x14ac:dyDescent="0.2">
      <c r="D5" s="1"/>
      <c r="E5" s="1"/>
      <c r="F5" s="1"/>
    </row>
    <row r="6" spans="2:10" s="342" customFormat="1" ht="20.45" customHeight="1" x14ac:dyDescent="0.25">
      <c r="B6" s="340" t="s">
        <v>232</v>
      </c>
      <c r="C6" s="341"/>
      <c r="D6" s="340"/>
      <c r="E6" s="340"/>
      <c r="F6" s="340"/>
      <c r="I6" s="343"/>
      <c r="J6" s="344"/>
    </row>
    <row r="7" spans="2:10" s="342" customFormat="1" ht="20.45" customHeight="1" x14ac:dyDescent="0.25">
      <c r="B7" s="340" t="s">
        <v>816</v>
      </c>
      <c r="C7" s="341"/>
      <c r="D7" s="340"/>
      <c r="E7" s="340"/>
      <c r="F7" s="340"/>
      <c r="I7" s="343"/>
      <c r="J7" s="344"/>
    </row>
    <row r="8" spans="2:10" s="342" customFormat="1" ht="20.45" customHeight="1" x14ac:dyDescent="0.25">
      <c r="B8" s="340" t="s">
        <v>241</v>
      </c>
      <c r="C8" s="341"/>
      <c r="D8" s="340"/>
      <c r="E8" s="340"/>
      <c r="F8" s="340"/>
      <c r="I8" s="343"/>
    </row>
    <row r="9" spans="2:10" s="342" customFormat="1" ht="22.5" customHeight="1" x14ac:dyDescent="0.25">
      <c r="B9" s="340"/>
      <c r="C9" s="345" t="s">
        <v>100</v>
      </c>
      <c r="D9" s="345" t="s">
        <v>3</v>
      </c>
      <c r="E9" s="345" t="s">
        <v>89</v>
      </c>
      <c r="F9" s="345" t="s">
        <v>90</v>
      </c>
      <c r="I9" s="343"/>
    </row>
    <row r="10" spans="2:10" ht="15.75" x14ac:dyDescent="0.25">
      <c r="B10" s="10"/>
      <c r="C10" s="9"/>
      <c r="D10" s="10"/>
      <c r="E10" s="10"/>
      <c r="F10" s="10"/>
      <c r="I10" s="2"/>
    </row>
    <row r="11" spans="2:10" x14ac:dyDescent="0.2">
      <c r="D11" s="1"/>
      <c r="E11" s="1"/>
      <c r="F11" s="1"/>
      <c r="I11" s="2"/>
    </row>
    <row r="12" spans="2:10" ht="23.25" customHeight="1" x14ac:dyDescent="0.25">
      <c r="B12" s="10" t="s">
        <v>118</v>
      </c>
      <c r="C12" s="9">
        <v>1</v>
      </c>
      <c r="D12" s="1"/>
      <c r="E12" s="1"/>
      <c r="F12" s="1"/>
      <c r="I12" s="2"/>
    </row>
    <row r="13" spans="2:10" x14ac:dyDescent="0.2">
      <c r="B13" s="1" t="s">
        <v>119</v>
      </c>
      <c r="D13" s="2">
        <f>+'Cédula Nota 1'!D9</f>
        <v>200000</v>
      </c>
      <c r="E13" s="2">
        <v>200000</v>
      </c>
      <c r="F13" s="2">
        <f>D13-E13</f>
        <v>0</v>
      </c>
      <c r="I13" s="2"/>
    </row>
    <row r="14" spans="2:10" x14ac:dyDescent="0.2">
      <c r="B14" s="1" t="s">
        <v>120</v>
      </c>
      <c r="D14" s="2">
        <f>+'Cédula Nota 1'!D10</f>
        <v>196260084.55000001</v>
      </c>
      <c r="E14" s="2">
        <v>60446610.450000003</v>
      </c>
      <c r="F14" s="2">
        <f>D14-E14</f>
        <v>135813474.10000002</v>
      </c>
      <c r="I14" s="2"/>
    </row>
    <row r="15" spans="2:10" x14ac:dyDescent="0.2">
      <c r="B15" s="1" t="s">
        <v>264</v>
      </c>
      <c r="D15" s="2">
        <f>+'Cédula Nota 1'!D11</f>
        <v>52396.44</v>
      </c>
      <c r="E15" s="2">
        <v>52571.44</v>
      </c>
      <c r="F15" s="2">
        <f>D15-E15</f>
        <v>-175</v>
      </c>
      <c r="I15" s="2"/>
    </row>
    <row r="16" spans="2:10" x14ac:dyDescent="0.2">
      <c r="B16" s="1" t="s">
        <v>265</v>
      </c>
      <c r="D16" s="2">
        <f>+'Cédula Nota 1'!D12</f>
        <v>14148.54</v>
      </c>
      <c r="E16" s="2">
        <v>14148.54</v>
      </c>
      <c r="F16" s="2">
        <f>D16-E16</f>
        <v>0</v>
      </c>
      <c r="I16" s="2"/>
    </row>
    <row r="17" spans="2:9" x14ac:dyDescent="0.2">
      <c r="B17" s="1" t="s">
        <v>266</v>
      </c>
      <c r="D17" s="2">
        <f>+'Cédula Nota 1'!D13</f>
        <v>786941.8</v>
      </c>
      <c r="E17" s="2">
        <v>767416.81</v>
      </c>
      <c r="F17" s="2">
        <f>D17-E17</f>
        <v>19524.989999999991</v>
      </c>
      <c r="H17" s="6"/>
      <c r="I17" s="2"/>
    </row>
    <row r="18" spans="2:9" x14ac:dyDescent="0.2">
      <c r="C18" s="182" t="s">
        <v>813</v>
      </c>
      <c r="I18" s="2"/>
    </row>
    <row r="19" spans="2:9" ht="15.75" x14ac:dyDescent="0.25">
      <c r="B19" s="10" t="s">
        <v>121</v>
      </c>
      <c r="C19" s="14" t="s">
        <v>9</v>
      </c>
      <c r="D19" s="183">
        <f>SUM(D13:D17)</f>
        <v>197313571.33000001</v>
      </c>
      <c r="E19" s="183">
        <f>SUM(E13:E17)</f>
        <v>61480747.240000002</v>
      </c>
      <c r="F19" s="183">
        <f>SUM(F13:F17)</f>
        <v>135832824.09000003</v>
      </c>
    </row>
    <row r="20" spans="2:9" x14ac:dyDescent="0.2">
      <c r="C20" s="14" t="s">
        <v>9</v>
      </c>
      <c r="D20" s="11"/>
      <c r="E20" s="11"/>
    </row>
    <row r="21" spans="2:9" x14ac:dyDescent="0.2">
      <c r="C21" s="14" t="s">
        <v>9</v>
      </c>
      <c r="D21" s="11"/>
      <c r="E21" s="11"/>
    </row>
    <row r="22" spans="2:9" ht="15.75" x14ac:dyDescent="0.25">
      <c r="B22" s="10" t="s">
        <v>298</v>
      </c>
      <c r="C22" s="9">
        <v>2</v>
      </c>
      <c r="D22" s="11"/>
      <c r="E22" s="11"/>
    </row>
    <row r="23" spans="2:9" x14ac:dyDescent="0.2">
      <c r="B23" s="1" t="s">
        <v>267</v>
      </c>
      <c r="C23" s="14" t="s">
        <v>9</v>
      </c>
      <c r="D23" s="11">
        <v>1236361200</v>
      </c>
      <c r="E23" s="11">
        <v>1224120000</v>
      </c>
      <c r="F23" s="2">
        <f>D23-E23</f>
        <v>12241200</v>
      </c>
    </row>
    <row r="24" spans="2:9" x14ac:dyDescent="0.2">
      <c r="B24" s="1" t="s">
        <v>268</v>
      </c>
      <c r="D24" s="11">
        <f>+'Cédula Nota 2 '!C11</f>
        <v>0</v>
      </c>
      <c r="E24" s="11">
        <v>0</v>
      </c>
      <c r="F24" s="2">
        <f>D24-E24</f>
        <v>0</v>
      </c>
      <c r="H24" s="6"/>
    </row>
    <row r="25" spans="2:9" x14ac:dyDescent="0.2">
      <c r="B25" s="1" t="s">
        <v>269</v>
      </c>
      <c r="C25" s="14" t="s">
        <v>9</v>
      </c>
      <c r="D25" s="11">
        <v>0</v>
      </c>
      <c r="E25" s="11">
        <v>0</v>
      </c>
      <c r="F25" s="2">
        <f>D25-E25</f>
        <v>0</v>
      </c>
    </row>
    <row r="26" spans="2:9" x14ac:dyDescent="0.2">
      <c r="C26" s="182" t="s">
        <v>813</v>
      </c>
      <c r="D26" s="11"/>
      <c r="E26" s="11"/>
    </row>
    <row r="27" spans="2:9" ht="15.75" x14ac:dyDescent="0.25">
      <c r="B27" s="10" t="s">
        <v>294</v>
      </c>
      <c r="C27" s="14" t="s">
        <v>9</v>
      </c>
      <c r="D27" s="183">
        <f>SUM(D23:D26)</f>
        <v>1236361200</v>
      </c>
      <c r="E27" s="183">
        <f>SUM(E23:E26)</f>
        <v>1224120000</v>
      </c>
      <c r="F27" s="183">
        <f>SUM(F23:F26)</f>
        <v>12241200</v>
      </c>
    </row>
    <row r="28" spans="2:9" x14ac:dyDescent="0.2">
      <c r="C28" s="14" t="s">
        <v>9</v>
      </c>
    </row>
    <row r="29" spans="2:9" x14ac:dyDescent="0.2">
      <c r="C29" s="14" t="s">
        <v>9</v>
      </c>
    </row>
    <row r="30" spans="2:9" ht="15.75" x14ac:dyDescent="0.25">
      <c r="B30" s="10" t="s">
        <v>299</v>
      </c>
      <c r="C30" s="9">
        <v>3</v>
      </c>
    </row>
    <row r="31" spans="2:9" hidden="1" x14ac:dyDescent="0.2">
      <c r="B31" s="1" t="s">
        <v>270</v>
      </c>
      <c r="C31" s="14" t="s">
        <v>9</v>
      </c>
      <c r="D31" s="2">
        <v>0</v>
      </c>
      <c r="E31" s="2">
        <v>0</v>
      </c>
      <c r="F31" s="2">
        <f t="shared" ref="F31:F36" si="0">D31-E31</f>
        <v>0</v>
      </c>
    </row>
    <row r="32" spans="2:9" x14ac:dyDescent="0.2">
      <c r="B32" s="1" t="s">
        <v>271</v>
      </c>
      <c r="C32" s="14" t="s">
        <v>9</v>
      </c>
      <c r="D32" s="2">
        <f>+'Nota 3 Resumen'!C9</f>
        <v>14619705.92</v>
      </c>
      <c r="E32" s="2">
        <v>15103311.159999998</v>
      </c>
      <c r="F32" s="2">
        <f t="shared" si="0"/>
        <v>-483605.23999999836</v>
      </c>
    </row>
    <row r="33" spans="2:6" x14ac:dyDescent="0.2">
      <c r="B33" s="1" t="s">
        <v>68</v>
      </c>
      <c r="C33" s="14" t="s">
        <v>9</v>
      </c>
      <c r="D33" s="2">
        <f>+'Nota 3 Resumen'!C10</f>
        <v>27338078.050000001</v>
      </c>
      <c r="E33" s="2">
        <v>27278672.27</v>
      </c>
      <c r="F33" s="2">
        <f t="shared" si="0"/>
        <v>59405.780000001192</v>
      </c>
    </row>
    <row r="34" spans="2:6" x14ac:dyDescent="0.2">
      <c r="B34" s="1" t="s">
        <v>572</v>
      </c>
      <c r="D34" s="2">
        <f>+'Nota 3 Resumen'!C11</f>
        <v>0</v>
      </c>
      <c r="E34" s="2">
        <v>0</v>
      </c>
      <c r="F34" s="2">
        <f t="shared" si="0"/>
        <v>0</v>
      </c>
    </row>
    <row r="35" spans="2:6" x14ac:dyDescent="0.2">
      <c r="B35" s="1" t="s">
        <v>406</v>
      </c>
      <c r="D35" s="2">
        <f>+'Nota 3 Resumen'!C12</f>
        <v>108452</v>
      </c>
      <c r="E35" s="2">
        <v>135520</v>
      </c>
      <c r="F35" s="2">
        <f t="shared" si="0"/>
        <v>-27068</v>
      </c>
    </row>
    <row r="36" spans="2:6" x14ac:dyDescent="0.2">
      <c r="B36" s="1" t="s">
        <v>122</v>
      </c>
      <c r="C36" s="14" t="s">
        <v>9</v>
      </c>
      <c r="D36" s="2">
        <f>+'Nota 3 Resumen'!C13</f>
        <v>265324.74</v>
      </c>
      <c r="E36" s="2">
        <v>406808.34</v>
      </c>
      <c r="F36" s="2">
        <f t="shared" si="0"/>
        <v>-141483.60000000003</v>
      </c>
    </row>
    <row r="37" spans="2:6" x14ac:dyDescent="0.2">
      <c r="C37" s="182" t="s">
        <v>813</v>
      </c>
    </row>
    <row r="38" spans="2:6" ht="15.75" x14ac:dyDescent="0.25">
      <c r="B38" s="10" t="s">
        <v>137</v>
      </c>
      <c r="C38" s="14" t="s">
        <v>9</v>
      </c>
      <c r="D38" s="183">
        <f>SUM(D31:D36)</f>
        <v>42331560.710000001</v>
      </c>
      <c r="E38" s="183">
        <f>SUM(E31:E36)</f>
        <v>42924311.770000003</v>
      </c>
      <c r="F38" s="183">
        <f>SUM(F31:F36)</f>
        <v>-592751.05999999726</v>
      </c>
    </row>
    <row r="39" spans="2:6" x14ac:dyDescent="0.2">
      <c r="C39" s="14" t="s">
        <v>9</v>
      </c>
      <c r="D39" s="11"/>
      <c r="E39" s="11"/>
      <c r="F39" s="11"/>
    </row>
    <row r="40" spans="2:6" x14ac:dyDescent="0.2">
      <c r="C40" s="14" t="s">
        <v>9</v>
      </c>
      <c r="D40" s="11"/>
      <c r="E40" s="11"/>
      <c r="F40" s="11"/>
    </row>
    <row r="41" spans="2:6" ht="15.75" x14ac:dyDescent="0.25">
      <c r="B41" s="10" t="s">
        <v>300</v>
      </c>
      <c r="C41" s="9">
        <v>4</v>
      </c>
      <c r="D41" s="11"/>
      <c r="E41" s="11"/>
      <c r="F41" s="11"/>
    </row>
    <row r="42" spans="2:6" x14ac:dyDescent="0.2">
      <c r="B42" s="1" t="s">
        <v>138</v>
      </c>
      <c r="C42" s="14" t="s">
        <v>9</v>
      </c>
      <c r="D42" s="11">
        <f>+'NOTA 4  INVENTARIO'!C12</f>
        <v>14775843.23</v>
      </c>
      <c r="E42" s="11">
        <v>13819877.83</v>
      </c>
      <c r="F42" s="11">
        <f>D42-E42</f>
        <v>955965.40000000037</v>
      </c>
    </row>
    <row r="43" spans="2:6" x14ac:dyDescent="0.2">
      <c r="C43" s="182" t="s">
        <v>813</v>
      </c>
      <c r="D43" s="11"/>
      <c r="E43" s="11"/>
      <c r="F43" s="11"/>
    </row>
    <row r="44" spans="2:6" ht="15.75" x14ac:dyDescent="0.25">
      <c r="B44" s="10" t="s">
        <v>139</v>
      </c>
      <c r="C44" s="14" t="s">
        <v>9</v>
      </c>
      <c r="D44" s="183">
        <f>SUM(D42:D42)</f>
        <v>14775843.23</v>
      </c>
      <c r="E44" s="183">
        <f>SUM(E42:E42)</f>
        <v>13819877.83</v>
      </c>
      <c r="F44" s="183">
        <f>SUM(F42:F42)</f>
        <v>955965.40000000037</v>
      </c>
    </row>
    <row r="45" spans="2:6" x14ac:dyDescent="0.2">
      <c r="D45" s="11"/>
      <c r="E45" s="11"/>
      <c r="F45" s="11"/>
    </row>
    <row r="46" spans="2:6" x14ac:dyDescent="0.2">
      <c r="D46" s="11"/>
      <c r="E46" s="11"/>
      <c r="F46" s="11"/>
    </row>
    <row r="47" spans="2:6" ht="15.75" x14ac:dyDescent="0.25">
      <c r="B47" s="10" t="s">
        <v>301</v>
      </c>
      <c r="C47" s="9">
        <v>5</v>
      </c>
      <c r="D47" s="11"/>
      <c r="E47" s="11"/>
      <c r="F47" s="11"/>
    </row>
    <row r="48" spans="2:6" x14ac:dyDescent="0.2">
      <c r="B48" s="1" t="s">
        <v>302</v>
      </c>
      <c r="D48" s="11">
        <f>+'NOTA 5  GPA'!C9</f>
        <v>97701.152500000026</v>
      </c>
      <c r="E48" s="11">
        <v>146551.71</v>
      </c>
      <c r="F48" s="11">
        <f>D48-E48</f>
        <v>-48850.557499999966</v>
      </c>
    </row>
    <row r="49" spans="2:11" x14ac:dyDescent="0.2">
      <c r="B49" s="1" t="s">
        <v>357</v>
      </c>
      <c r="D49" s="11">
        <f>+'NOTA 5  GPA'!C10</f>
        <v>743398.2100000002</v>
      </c>
      <c r="E49" s="11">
        <v>901281.92</v>
      </c>
      <c r="F49" s="11">
        <f>D49-E49</f>
        <v>-157883.70999999985</v>
      </c>
    </row>
    <row r="50" spans="2:11" x14ac:dyDescent="0.2">
      <c r="C50" s="182" t="s">
        <v>813</v>
      </c>
      <c r="D50" s="11"/>
      <c r="E50" s="11"/>
      <c r="F50" s="11"/>
    </row>
    <row r="51" spans="2:11" ht="15.75" x14ac:dyDescent="0.25">
      <c r="B51" s="10" t="s">
        <v>123</v>
      </c>
      <c r="C51" s="14" t="s">
        <v>9</v>
      </c>
      <c r="D51" s="183">
        <f>SUM(D48:D49)</f>
        <v>841099.36250000028</v>
      </c>
      <c r="E51" s="183">
        <f>SUM(E48:E49)</f>
        <v>1047833.63</v>
      </c>
      <c r="F51" s="183">
        <f>SUM(F48:F49)</f>
        <v>-206734.26749999981</v>
      </c>
    </row>
    <row r="52" spans="2:11" x14ac:dyDescent="0.2">
      <c r="C52" s="14" t="s">
        <v>9</v>
      </c>
    </row>
    <row r="53" spans="2:11" x14ac:dyDescent="0.2">
      <c r="C53" s="14" t="s">
        <v>9</v>
      </c>
    </row>
    <row r="54" spans="2:11" ht="15.75" x14ac:dyDescent="0.25">
      <c r="B54" s="10" t="s">
        <v>304</v>
      </c>
      <c r="C54" s="9">
        <v>6</v>
      </c>
    </row>
    <row r="55" spans="2:11" ht="15.75" x14ac:dyDescent="0.25">
      <c r="B55" s="1" t="s">
        <v>305</v>
      </c>
      <c r="C55" s="9"/>
      <c r="D55" s="2">
        <f>345928100+349421600</f>
        <v>695349700</v>
      </c>
      <c r="E55" s="2">
        <v>695349700</v>
      </c>
      <c r="F55" s="2">
        <f>+D55-E55</f>
        <v>0</v>
      </c>
    </row>
    <row r="56" spans="2:11" ht="15.75" x14ac:dyDescent="0.25">
      <c r="B56" s="1" t="s">
        <v>309</v>
      </c>
      <c r="C56" s="9"/>
      <c r="D56" s="2">
        <v>-309771035.29000002</v>
      </c>
      <c r="E56" s="2">
        <v>-309771035.29000002</v>
      </c>
      <c r="F56" s="2">
        <f>+D56-E56</f>
        <v>0</v>
      </c>
    </row>
    <row r="57" spans="2:11" ht="15.75" x14ac:dyDescent="0.25">
      <c r="B57" s="1" t="s">
        <v>310</v>
      </c>
      <c r="C57" s="9"/>
      <c r="D57" s="2">
        <v>13736646.710000001</v>
      </c>
      <c r="E57" s="2">
        <v>13736646.710000001</v>
      </c>
      <c r="F57" s="2">
        <f>+D57-E57</f>
        <v>0</v>
      </c>
    </row>
    <row r="58" spans="2:11" ht="15.75" x14ac:dyDescent="0.25">
      <c r="B58" s="1" t="s">
        <v>311</v>
      </c>
      <c r="C58" s="9"/>
      <c r="D58" s="3">
        <v>-49893711.420000002</v>
      </c>
      <c r="E58" s="3">
        <v>-49893711.420000002</v>
      </c>
      <c r="F58" s="3">
        <f>+D58-E58</f>
        <v>0</v>
      </c>
    </row>
    <row r="59" spans="2:11" ht="15.75" x14ac:dyDescent="0.25">
      <c r="B59" s="184" t="s">
        <v>306</v>
      </c>
      <c r="C59" s="9"/>
      <c r="D59" s="17">
        <f>SUM(D55:D58)</f>
        <v>349421599.99999994</v>
      </c>
      <c r="E59" s="17">
        <f>SUM(E55:E58)</f>
        <v>349421599.99999994</v>
      </c>
      <c r="F59" s="17">
        <f>SUM(F55:F58)</f>
        <v>0</v>
      </c>
    </row>
    <row r="60" spans="2:11" ht="15.75" x14ac:dyDescent="0.25">
      <c r="B60" s="184"/>
      <c r="C60" s="9"/>
      <c r="D60" s="17"/>
      <c r="E60" s="17"/>
      <c r="F60" s="17"/>
    </row>
    <row r="61" spans="2:11" ht="15.75" x14ac:dyDescent="0.25">
      <c r="C61" s="9"/>
    </row>
    <row r="62" spans="2:11" x14ac:dyDescent="0.2">
      <c r="B62" s="1" t="s">
        <v>308</v>
      </c>
      <c r="C62" s="14" t="s">
        <v>9</v>
      </c>
      <c r="D62" s="2">
        <v>2816310100</v>
      </c>
      <c r="E62" s="2">
        <v>2816310100</v>
      </c>
      <c r="F62" s="2">
        <f>+D62-E62</f>
        <v>0</v>
      </c>
      <c r="I62" s="14"/>
      <c r="J62" s="2"/>
      <c r="K62" s="2"/>
    </row>
    <row r="63" spans="2:11" x14ac:dyDescent="0.2">
      <c r="B63" s="1" t="s">
        <v>309</v>
      </c>
      <c r="D63" s="2">
        <f>4065638857.47-3097941110.65</f>
        <v>967697746.81999969</v>
      </c>
      <c r="E63" s="2">
        <v>967697746.81999969</v>
      </c>
      <c r="F63" s="2">
        <f>+D63-E63</f>
        <v>0</v>
      </c>
      <c r="I63" s="14"/>
      <c r="J63" s="2"/>
      <c r="K63" s="2"/>
    </row>
    <row r="64" spans="2:11" x14ac:dyDescent="0.2">
      <c r="B64" s="1" t="s">
        <v>310</v>
      </c>
      <c r="D64" s="3">
        <v>281631010.64999998</v>
      </c>
      <c r="E64" s="3">
        <v>281631010.64999998</v>
      </c>
      <c r="F64" s="3">
        <f>+D64-E64</f>
        <v>0</v>
      </c>
      <c r="I64" s="14"/>
      <c r="J64" s="2"/>
      <c r="K64" s="2"/>
    </row>
    <row r="65" spans="2:11" ht="15.75" x14ac:dyDescent="0.25">
      <c r="B65" s="184" t="s">
        <v>307</v>
      </c>
      <c r="D65" s="17">
        <f>SUM(D62:D64)</f>
        <v>4065638857.4699998</v>
      </c>
      <c r="E65" s="17">
        <f>SUM(E62:E64)</f>
        <v>4065638857.4699998</v>
      </c>
      <c r="F65" s="17">
        <f>SUM(F62:F64)</f>
        <v>0</v>
      </c>
      <c r="I65" s="14"/>
      <c r="J65" s="2"/>
      <c r="K65" s="2"/>
    </row>
    <row r="66" spans="2:11" x14ac:dyDescent="0.2">
      <c r="I66" s="14"/>
      <c r="J66" s="2"/>
      <c r="K66" s="2"/>
    </row>
    <row r="67" spans="2:11" x14ac:dyDescent="0.2">
      <c r="I67" s="14"/>
      <c r="J67" s="2"/>
      <c r="K67" s="2"/>
    </row>
    <row r="68" spans="2:11" x14ac:dyDescent="0.2">
      <c r="B68" s="1" t="s">
        <v>272</v>
      </c>
      <c r="C68" s="14" t="s">
        <v>9</v>
      </c>
      <c r="D68" s="2">
        <v>251919000</v>
      </c>
      <c r="E68" s="2">
        <v>251919000</v>
      </c>
      <c r="F68" s="2">
        <f>+D68-E68</f>
        <v>0</v>
      </c>
      <c r="I68" s="14"/>
      <c r="J68" s="2"/>
      <c r="K68" s="2"/>
    </row>
    <row r="69" spans="2:11" x14ac:dyDescent="0.2">
      <c r="B69" s="1" t="s">
        <v>309</v>
      </c>
      <c r="D69" s="2">
        <f>1067180605.83-101136301+302367190.28+6013344.38-217267592</f>
        <v>1057157247.4900002</v>
      </c>
      <c r="E69" s="2">
        <v>1274424839.4900002</v>
      </c>
      <c r="F69" s="2">
        <f>+D69-E69</f>
        <v>-217267592</v>
      </c>
      <c r="I69" s="14"/>
      <c r="J69" s="2"/>
      <c r="K69" s="2"/>
    </row>
    <row r="70" spans="2:11" x14ac:dyDescent="0.2">
      <c r="B70" s="1" t="s">
        <v>310</v>
      </c>
      <c r="D70" s="3">
        <v>25191900</v>
      </c>
      <c r="E70" s="3">
        <v>25191900</v>
      </c>
      <c r="F70" s="3">
        <f>+D70-E70</f>
        <v>0</v>
      </c>
      <c r="I70" s="14"/>
      <c r="J70" s="2"/>
      <c r="K70" s="2"/>
    </row>
    <row r="71" spans="2:11" ht="15.75" x14ac:dyDescent="0.25">
      <c r="B71" s="184" t="s">
        <v>312</v>
      </c>
      <c r="D71" s="17">
        <f>SUM(D68:D70)</f>
        <v>1334268147.4900002</v>
      </c>
      <c r="E71" s="17">
        <f>SUM(E68:E70)</f>
        <v>1551535739.4900002</v>
      </c>
      <c r="F71" s="17">
        <f>SUM(F68:F70)</f>
        <v>-217267592</v>
      </c>
      <c r="G71" s="17">
        <f>SUM(G68:G70)</f>
        <v>0</v>
      </c>
      <c r="I71" s="14"/>
      <c r="J71" s="2"/>
      <c r="K71" s="2"/>
    </row>
    <row r="72" spans="2:11" x14ac:dyDescent="0.2">
      <c r="I72" s="14"/>
      <c r="J72" s="2"/>
      <c r="K72" s="2"/>
    </row>
    <row r="73" spans="2:11" x14ac:dyDescent="0.2">
      <c r="I73" s="14"/>
      <c r="J73" s="2"/>
      <c r="K73" s="2"/>
    </row>
    <row r="74" spans="2:11" x14ac:dyDescent="0.2">
      <c r="B74" s="1" t="s">
        <v>313</v>
      </c>
      <c r="C74" s="14" t="s">
        <v>9</v>
      </c>
      <c r="D74" s="2">
        <v>2297250000</v>
      </c>
      <c r="E74" s="2">
        <v>2297250000</v>
      </c>
      <c r="F74" s="2">
        <f t="shared" ref="F74:F86" si="1">D74-E74</f>
        <v>0</v>
      </c>
      <c r="I74" s="14"/>
      <c r="J74" s="2"/>
      <c r="K74" s="2"/>
    </row>
    <row r="75" spans="2:11" x14ac:dyDescent="0.2">
      <c r="B75" s="1" t="s">
        <v>309</v>
      </c>
      <c r="D75" s="2">
        <f>5479145505.69+138262602.48+400</f>
        <v>5617408508.1699991</v>
      </c>
      <c r="E75" s="2">
        <v>5617408508.1699991</v>
      </c>
      <c r="F75" s="2">
        <f t="shared" si="1"/>
        <v>0</v>
      </c>
      <c r="I75" s="14"/>
      <c r="J75" s="2"/>
      <c r="K75" s="2"/>
    </row>
    <row r="76" spans="2:11" x14ac:dyDescent="0.2">
      <c r="B76" s="1" t="s">
        <v>310</v>
      </c>
      <c r="D76" s="3">
        <v>229725000.47999999</v>
      </c>
      <c r="E76" s="3">
        <v>229725000.47999999</v>
      </c>
      <c r="F76" s="3">
        <f t="shared" si="1"/>
        <v>0</v>
      </c>
      <c r="I76" s="14"/>
      <c r="J76" s="2"/>
      <c r="K76" s="2"/>
    </row>
    <row r="77" spans="2:11" ht="15.75" x14ac:dyDescent="0.25">
      <c r="B77" s="184" t="s">
        <v>314</v>
      </c>
      <c r="D77" s="17">
        <f>SUM(D74:D76)</f>
        <v>8144383508.6499987</v>
      </c>
      <c r="E77" s="17">
        <f>SUM(E74:E76)</f>
        <v>8144383508.6499987</v>
      </c>
      <c r="F77" s="17">
        <f>SUM(F74:F76)</f>
        <v>0</v>
      </c>
      <c r="I77" s="14"/>
      <c r="J77" s="2"/>
      <c r="K77" s="2"/>
    </row>
    <row r="78" spans="2:11" x14ac:dyDescent="0.2">
      <c r="I78" s="14"/>
      <c r="J78" s="2"/>
      <c r="K78" s="2"/>
    </row>
    <row r="79" spans="2:11" x14ac:dyDescent="0.2">
      <c r="B79" s="1" t="s">
        <v>315</v>
      </c>
      <c r="D79" s="75">
        <v>3240339500</v>
      </c>
      <c r="E79" s="2">
        <v>3240339500</v>
      </c>
      <c r="F79" s="2">
        <f t="shared" si="1"/>
        <v>0</v>
      </c>
      <c r="I79" s="14"/>
      <c r="J79" s="2"/>
      <c r="K79" s="2"/>
    </row>
    <row r="80" spans="2:11" x14ac:dyDescent="0.2">
      <c r="B80" s="1" t="s">
        <v>309</v>
      </c>
      <c r="D80" s="3">
        <v>-3240339500</v>
      </c>
      <c r="E80" s="3">
        <v>-3240339500</v>
      </c>
      <c r="F80" s="3">
        <f t="shared" si="1"/>
        <v>0</v>
      </c>
      <c r="I80" s="14"/>
      <c r="J80" s="2"/>
      <c r="K80" s="2"/>
    </row>
    <row r="81" spans="2:11" ht="15.75" x14ac:dyDescent="0.25">
      <c r="B81" s="184" t="s">
        <v>316</v>
      </c>
      <c r="C81" s="9"/>
      <c r="D81" s="17">
        <f>SUM(D79:D80)</f>
        <v>0</v>
      </c>
      <c r="E81" s="17">
        <f>SUM(E79:E80)</f>
        <v>0</v>
      </c>
      <c r="F81" s="17">
        <f>SUM(F79:F80)</f>
        <v>0</v>
      </c>
      <c r="I81" s="14"/>
      <c r="J81" s="2"/>
      <c r="K81" s="2"/>
    </row>
    <row r="82" spans="2:11" x14ac:dyDescent="0.2">
      <c r="I82" s="14"/>
      <c r="J82" s="2"/>
      <c r="K82" s="2"/>
    </row>
    <row r="83" spans="2:11" x14ac:dyDescent="0.2">
      <c r="I83" s="14"/>
      <c r="J83" s="2"/>
      <c r="K83" s="2"/>
    </row>
    <row r="84" spans="2:11" x14ac:dyDescent="0.2">
      <c r="I84" s="14"/>
      <c r="J84" s="2"/>
      <c r="K84" s="2"/>
    </row>
    <row r="85" spans="2:11" x14ac:dyDescent="0.2">
      <c r="B85" s="1" t="s">
        <v>273</v>
      </c>
      <c r="D85" s="75">
        <v>3475097800</v>
      </c>
      <c r="E85" s="2">
        <v>3475097800</v>
      </c>
      <c r="F85" s="2">
        <f t="shared" si="1"/>
        <v>0</v>
      </c>
      <c r="I85" s="14"/>
      <c r="J85" s="2"/>
      <c r="K85" s="2"/>
    </row>
    <row r="86" spans="2:11" x14ac:dyDescent="0.2">
      <c r="B86" s="1" t="s">
        <v>309</v>
      </c>
      <c r="D86" s="3">
        <v>-3475097800</v>
      </c>
      <c r="E86" s="3">
        <v>-3475097800</v>
      </c>
      <c r="F86" s="3">
        <f t="shared" si="1"/>
        <v>0</v>
      </c>
      <c r="I86" s="14"/>
      <c r="J86" s="2"/>
      <c r="K86" s="2"/>
    </row>
    <row r="87" spans="2:11" ht="15.75" x14ac:dyDescent="0.25">
      <c r="B87" s="184" t="s">
        <v>317</v>
      </c>
      <c r="D87" s="17">
        <f>SUM(D85:D86)</f>
        <v>0</v>
      </c>
      <c r="E87" s="17">
        <f>SUM(E85:E86)</f>
        <v>0</v>
      </c>
      <c r="F87" s="17">
        <f>SUM(F85:F86)</f>
        <v>0</v>
      </c>
      <c r="I87" s="14"/>
      <c r="J87" s="2"/>
      <c r="K87" s="2"/>
    </row>
    <row r="88" spans="2:11" x14ac:dyDescent="0.2">
      <c r="I88" s="14"/>
      <c r="J88" s="2"/>
      <c r="K88" s="2"/>
    </row>
    <row r="89" spans="2:11" x14ac:dyDescent="0.2">
      <c r="I89" s="14"/>
      <c r="J89" s="2"/>
      <c r="K89" s="2"/>
    </row>
    <row r="90" spans="2:11" x14ac:dyDescent="0.2">
      <c r="B90" s="1" t="s">
        <v>318</v>
      </c>
      <c r="D90" s="2">
        <v>3462816000</v>
      </c>
      <c r="E90" s="2">
        <v>3462816000</v>
      </c>
      <c r="F90" s="2">
        <f>D90-E90</f>
        <v>0</v>
      </c>
      <c r="I90" s="14"/>
      <c r="J90" s="2"/>
      <c r="K90" s="2"/>
    </row>
    <row r="91" spans="2:11" x14ac:dyDescent="0.2">
      <c r="B91" s="1" t="s">
        <v>309</v>
      </c>
      <c r="D91" s="3">
        <v>-3462816000</v>
      </c>
      <c r="E91" s="3">
        <v>-3462816000</v>
      </c>
      <c r="F91" s="3">
        <f>D91-E91</f>
        <v>0</v>
      </c>
      <c r="I91" s="14"/>
      <c r="J91" s="2"/>
      <c r="K91" s="2"/>
    </row>
    <row r="92" spans="2:11" ht="15.75" x14ac:dyDescent="0.25">
      <c r="B92" s="184" t="s">
        <v>319</v>
      </c>
      <c r="D92" s="17">
        <f>SUM(D90:D91)</f>
        <v>0</v>
      </c>
      <c r="E92" s="17">
        <f>SUM(E90:E91)</f>
        <v>0</v>
      </c>
      <c r="F92" s="17">
        <f>SUM(F90:F91)</f>
        <v>0</v>
      </c>
      <c r="I92" s="14"/>
      <c r="J92" s="2"/>
      <c r="K92" s="2"/>
    </row>
    <row r="93" spans="2:11" ht="15.75" x14ac:dyDescent="0.25">
      <c r="B93" s="184"/>
      <c r="D93" s="17"/>
      <c r="E93" s="17"/>
      <c r="F93" s="17"/>
      <c r="I93" s="14"/>
      <c r="J93" s="2"/>
      <c r="K93" s="2"/>
    </row>
    <row r="94" spans="2:11" x14ac:dyDescent="0.2">
      <c r="C94" s="182" t="s">
        <v>829</v>
      </c>
      <c r="I94" s="14"/>
      <c r="J94" s="2"/>
      <c r="K94" s="2"/>
    </row>
    <row r="95" spans="2:11" ht="15.75" x14ac:dyDescent="0.25">
      <c r="B95" s="10" t="s">
        <v>140</v>
      </c>
      <c r="C95" s="14" t="s">
        <v>9</v>
      </c>
      <c r="D95" s="17">
        <f>+D59+D65+D71+D77+D81+D87+D92</f>
        <v>13893712113.609997</v>
      </c>
      <c r="E95" s="17">
        <f>+E59+E65+E71+E77+E81+E87+E92</f>
        <v>14110979705.609997</v>
      </c>
      <c r="F95" s="17">
        <f>+F59+F65+F71+F77+F81+F87+F92</f>
        <v>-217267592</v>
      </c>
      <c r="H95" s="10"/>
      <c r="I95" s="14"/>
      <c r="J95" s="17"/>
      <c r="K95" s="17"/>
    </row>
    <row r="96" spans="2:11" ht="15.75" x14ac:dyDescent="0.25">
      <c r="B96" s="10"/>
      <c r="D96" s="17"/>
      <c r="E96" s="17"/>
      <c r="F96" s="17"/>
      <c r="H96" s="10"/>
      <c r="I96" s="14"/>
      <c r="J96" s="17"/>
      <c r="K96" s="17"/>
    </row>
    <row r="97" spans="2:11" ht="15.75" x14ac:dyDescent="0.25">
      <c r="B97" s="10"/>
      <c r="D97" s="17"/>
      <c r="E97" s="17"/>
      <c r="F97" s="17"/>
      <c r="H97" s="10"/>
      <c r="I97" s="14"/>
      <c r="J97" s="17"/>
      <c r="K97" s="17"/>
    </row>
    <row r="98" spans="2:11" ht="15.75" x14ac:dyDescent="0.25">
      <c r="B98" s="20"/>
      <c r="C98" s="185"/>
      <c r="D98" s="17"/>
      <c r="E98" s="17"/>
      <c r="F98" s="17"/>
      <c r="H98" s="10"/>
      <c r="I98" s="14"/>
      <c r="J98" s="17"/>
      <c r="K98" s="17"/>
    </row>
    <row r="99" spans="2:11" ht="15.75" x14ac:dyDescent="0.25">
      <c r="B99" s="10" t="s">
        <v>303</v>
      </c>
      <c r="C99" s="9">
        <v>7</v>
      </c>
      <c r="H99" s="10"/>
      <c r="I99" s="2"/>
      <c r="J99" s="2"/>
      <c r="K99" s="2"/>
    </row>
    <row r="100" spans="2:11" ht="15.75" x14ac:dyDescent="0.25">
      <c r="B100" s="1" t="s">
        <v>295</v>
      </c>
      <c r="D100" s="2">
        <v>51371918.210000001</v>
      </c>
      <c r="E100" s="2">
        <v>51359787.539999999</v>
      </c>
      <c r="F100" s="2">
        <f>D100-E100</f>
        <v>12130.670000001788</v>
      </c>
      <c r="H100" s="10"/>
      <c r="I100" s="2"/>
      <c r="J100" s="2"/>
      <c r="K100" s="2"/>
    </row>
    <row r="101" spans="2:11" ht="15.75" x14ac:dyDescent="0.25">
      <c r="B101" s="1" t="s">
        <v>320</v>
      </c>
      <c r="D101" s="2">
        <v>-30259950.109999999</v>
      </c>
      <c r="E101" s="2">
        <v>-29741247.93</v>
      </c>
      <c r="F101" s="2">
        <f t="shared" ref="F101:F109" si="2">D101-E101</f>
        <v>-518702.1799999997</v>
      </c>
      <c r="H101" s="10"/>
      <c r="I101" s="2"/>
      <c r="J101" s="2"/>
      <c r="K101" s="2"/>
    </row>
    <row r="102" spans="2:11" ht="15.75" x14ac:dyDescent="0.25">
      <c r="B102" s="1" t="s">
        <v>534</v>
      </c>
      <c r="C102" s="185"/>
      <c r="D102" s="2">
        <v>19538995.010000002</v>
      </c>
      <c r="E102" s="2">
        <v>19538995.010000002</v>
      </c>
      <c r="F102" s="2">
        <f>D102-E102</f>
        <v>0</v>
      </c>
      <c r="H102" s="10"/>
      <c r="I102" s="2"/>
      <c r="J102" s="2"/>
      <c r="K102" s="2"/>
    </row>
    <row r="103" spans="2:11" ht="15.75" x14ac:dyDescent="0.25">
      <c r="B103" s="1" t="s">
        <v>320</v>
      </c>
      <c r="C103" s="185"/>
      <c r="D103" s="2">
        <v>-19538995.010000002</v>
      </c>
      <c r="E103" s="2">
        <v>-19538995.010000002</v>
      </c>
      <c r="F103" s="2">
        <f>D103-E103</f>
        <v>0</v>
      </c>
      <c r="H103" s="10"/>
      <c r="I103" s="2"/>
      <c r="J103" s="2"/>
      <c r="K103" s="2"/>
    </row>
    <row r="104" spans="2:11" ht="15.75" x14ac:dyDescent="0.25">
      <c r="B104" s="1" t="s">
        <v>124</v>
      </c>
      <c r="C104" s="20"/>
      <c r="D104" s="2">
        <v>2317253.5</v>
      </c>
      <c r="E104" s="2">
        <v>2317253.5</v>
      </c>
      <c r="F104" s="2">
        <f t="shared" si="2"/>
        <v>0</v>
      </c>
      <c r="H104" s="10"/>
      <c r="I104" s="2"/>
      <c r="J104" s="2"/>
      <c r="K104" s="2"/>
    </row>
    <row r="105" spans="2:11" ht="15.75" x14ac:dyDescent="0.25">
      <c r="B105" s="1" t="s">
        <v>320</v>
      </c>
      <c r="C105" s="185"/>
      <c r="D105" s="2">
        <v>-1703723.53</v>
      </c>
      <c r="E105" s="2">
        <v>-1685052.75</v>
      </c>
      <c r="F105" s="2">
        <f t="shared" si="2"/>
        <v>-18670.780000000028</v>
      </c>
      <c r="H105" s="10"/>
      <c r="I105" s="2"/>
      <c r="J105" s="2"/>
      <c r="K105" s="2"/>
    </row>
    <row r="106" spans="2:11" ht="15.75" x14ac:dyDescent="0.25">
      <c r="B106" s="1" t="s">
        <v>479</v>
      </c>
      <c r="C106" s="185"/>
      <c r="D106" s="2">
        <f>+'NOTA 7-ACTIVOS FIJOS'!F85</f>
        <v>1003826</v>
      </c>
      <c r="E106" s="2">
        <v>1003826</v>
      </c>
      <c r="F106" s="2">
        <f t="shared" si="2"/>
        <v>0</v>
      </c>
      <c r="H106" s="10"/>
      <c r="I106" s="2"/>
      <c r="J106" s="2"/>
      <c r="K106" s="2"/>
    </row>
    <row r="107" spans="2:11" ht="16.5" customHeight="1" x14ac:dyDescent="0.25">
      <c r="B107" s="1" t="s">
        <v>320</v>
      </c>
      <c r="C107" s="185"/>
      <c r="D107" s="2">
        <f>-'NOTA 7-ACTIVOS FIJOS'!F92</f>
        <v>-200765.40000000005</v>
      </c>
      <c r="E107" s="2">
        <v>-184034.95000000004</v>
      </c>
      <c r="F107" s="2">
        <f t="shared" si="2"/>
        <v>-16730.450000000012</v>
      </c>
      <c r="H107" s="10"/>
      <c r="I107" s="2"/>
      <c r="J107" s="2"/>
      <c r="K107" s="2"/>
    </row>
    <row r="108" spans="2:11" ht="15.75" x14ac:dyDescent="0.25">
      <c r="B108" s="1" t="s">
        <v>125</v>
      </c>
      <c r="C108" s="14" t="s">
        <v>9</v>
      </c>
      <c r="D108" s="2">
        <f>+'NOTA 7-ACTIVOS FIJOS'!I85</f>
        <v>5881555.6499999994</v>
      </c>
      <c r="E108" s="2">
        <v>5881555.6499999994</v>
      </c>
      <c r="F108" s="2">
        <f t="shared" si="2"/>
        <v>0</v>
      </c>
      <c r="H108" s="10"/>
      <c r="I108" s="2"/>
      <c r="J108" s="2"/>
      <c r="K108" s="2"/>
    </row>
    <row r="109" spans="2:11" ht="18.75" customHeight="1" x14ac:dyDescent="0.25">
      <c r="B109" s="1" t="s">
        <v>321</v>
      </c>
      <c r="C109" s="185"/>
      <c r="D109" s="2">
        <f>-'NOTA 7-ACTIVOS FIJOS'!I92</f>
        <v>-5853448.2200000016</v>
      </c>
      <c r="E109" s="2">
        <v>-5844079.0700000012</v>
      </c>
      <c r="F109" s="2">
        <f t="shared" si="2"/>
        <v>-9369.1500000003725</v>
      </c>
      <c r="H109" s="10"/>
      <c r="I109" s="2"/>
      <c r="J109" s="2"/>
      <c r="K109" s="2"/>
    </row>
    <row r="110" spans="2:11" ht="15.75" x14ac:dyDescent="0.25">
      <c r="C110" s="182" t="s">
        <v>829</v>
      </c>
      <c r="H110" s="10"/>
      <c r="I110" s="2"/>
      <c r="J110" s="2"/>
      <c r="K110" s="2"/>
    </row>
    <row r="111" spans="2:11" ht="15.75" x14ac:dyDescent="0.25">
      <c r="B111" s="10" t="s">
        <v>296</v>
      </c>
      <c r="C111" s="14" t="s">
        <v>9</v>
      </c>
      <c r="D111" s="17">
        <f>SUM(D100:D109)</f>
        <v>22556666.099999994</v>
      </c>
      <c r="E111" s="17">
        <f>SUM(E100:E109)</f>
        <v>23108007.990000002</v>
      </c>
      <c r="F111" s="17">
        <f>SUM(F100:F109)</f>
        <v>-551341.88999999827</v>
      </c>
      <c r="H111" s="10"/>
      <c r="I111" s="17"/>
      <c r="J111" s="17"/>
      <c r="K111" s="17"/>
    </row>
    <row r="112" spans="2:11" ht="15.75" x14ac:dyDescent="0.25">
      <c r="B112" s="6"/>
      <c r="C112" s="14" t="s">
        <v>9</v>
      </c>
      <c r="H112" s="10"/>
      <c r="I112" s="14"/>
      <c r="J112" s="17"/>
      <c r="K112" s="17"/>
    </row>
    <row r="113" spans="2:11" ht="15.75" x14ac:dyDescent="0.25">
      <c r="B113" s="6"/>
      <c r="C113" s="14" t="s">
        <v>9</v>
      </c>
      <c r="H113" s="10"/>
      <c r="I113" s="14"/>
      <c r="J113" s="17"/>
      <c r="K113" s="17"/>
    </row>
    <row r="114" spans="2:11" ht="15.75" x14ac:dyDescent="0.25">
      <c r="B114" s="10" t="s">
        <v>126</v>
      </c>
      <c r="C114" s="9">
        <v>8</v>
      </c>
      <c r="H114" s="10"/>
      <c r="I114" s="14"/>
      <c r="J114" s="17"/>
      <c r="K114" s="17"/>
    </row>
    <row r="115" spans="2:11" ht="15.75" x14ac:dyDescent="0.25">
      <c r="B115" s="1" t="s">
        <v>127</v>
      </c>
      <c r="D115" s="2">
        <f>+'NOTA 8-CEDULAS CxP '!B9</f>
        <v>3435101.08</v>
      </c>
      <c r="E115" s="2">
        <v>143370</v>
      </c>
      <c r="F115" s="2">
        <f t="shared" ref="F115:F122" si="3">D115-E115</f>
        <v>3291731.08</v>
      </c>
      <c r="G115" s="6"/>
      <c r="H115" s="10"/>
      <c r="I115" s="14"/>
      <c r="J115" s="17"/>
      <c r="K115" s="17"/>
    </row>
    <row r="116" spans="2:11" ht="15.75" x14ac:dyDescent="0.25">
      <c r="B116" s="1" t="s">
        <v>199</v>
      </c>
      <c r="D116" s="75">
        <f>+'NOTA 8-CEDULAS CxP '!B10</f>
        <v>311277.77</v>
      </c>
      <c r="E116" s="2">
        <v>911533.92</v>
      </c>
      <c r="F116" s="2">
        <f t="shared" si="3"/>
        <v>-600256.15</v>
      </c>
      <c r="H116" s="10"/>
      <c r="I116" s="14"/>
      <c r="J116" s="17"/>
      <c r="K116" s="17"/>
    </row>
    <row r="117" spans="2:11" ht="15.75" x14ac:dyDescent="0.25">
      <c r="B117" s="1" t="s">
        <v>69</v>
      </c>
      <c r="C117" s="14" t="s">
        <v>9</v>
      </c>
      <c r="D117" s="75">
        <f>+'NOTA 8-CEDULAS CxP '!B11</f>
        <v>261596.5</v>
      </c>
      <c r="E117" s="95">
        <v>194066.74</v>
      </c>
      <c r="F117" s="2">
        <f t="shared" si="3"/>
        <v>67529.760000000009</v>
      </c>
      <c r="H117" s="10"/>
      <c r="I117" s="14"/>
      <c r="J117" s="17"/>
      <c r="K117" s="17"/>
    </row>
    <row r="118" spans="2:11" ht="15.75" x14ac:dyDescent="0.25">
      <c r="B118" s="1" t="s">
        <v>226</v>
      </c>
      <c r="D118" s="75">
        <f>+'NOTA 8-CEDULAS CxP '!B12</f>
        <v>239700</v>
      </c>
      <c r="E118" s="2">
        <v>229078.8</v>
      </c>
      <c r="F118" s="2">
        <f t="shared" si="3"/>
        <v>10621.200000000012</v>
      </c>
      <c r="G118" s="6"/>
      <c r="H118" s="10"/>
      <c r="I118" s="14"/>
      <c r="J118" s="17"/>
      <c r="K118" s="17"/>
    </row>
    <row r="119" spans="2:11" ht="15.75" x14ac:dyDescent="0.25">
      <c r="B119" s="1" t="s">
        <v>366</v>
      </c>
      <c r="D119" s="2">
        <f>+'NOTA 8-CEDULAS CxP '!B13</f>
        <v>0</v>
      </c>
      <c r="E119" s="2">
        <v>0</v>
      </c>
      <c r="F119" s="2">
        <f t="shared" si="3"/>
        <v>0</v>
      </c>
      <c r="G119" s="6"/>
      <c r="H119" s="10"/>
      <c r="I119" s="14"/>
      <c r="J119" s="17"/>
      <c r="K119" s="17"/>
    </row>
    <row r="120" spans="2:11" ht="15.75" x14ac:dyDescent="0.25">
      <c r="B120" s="1" t="s">
        <v>290</v>
      </c>
      <c r="D120" s="2">
        <f>+'NOTA 8-CEDULAS CxP '!B14</f>
        <v>0</v>
      </c>
      <c r="E120" s="2">
        <v>0</v>
      </c>
      <c r="F120" s="2">
        <f t="shared" si="3"/>
        <v>0</v>
      </c>
      <c r="H120" s="10"/>
      <c r="I120" s="14"/>
      <c r="J120" s="17"/>
      <c r="K120" s="17"/>
    </row>
    <row r="121" spans="2:11" ht="15.75" x14ac:dyDescent="0.25">
      <c r="B121" s="1" t="s">
        <v>274</v>
      </c>
      <c r="C121" s="14" t="s">
        <v>9</v>
      </c>
      <c r="D121" s="2">
        <f>+'NOTA 8-CEDULAS CxP '!B15</f>
        <v>954719</v>
      </c>
      <c r="E121" s="2">
        <v>0</v>
      </c>
      <c r="F121" s="2">
        <f t="shared" si="3"/>
        <v>954719</v>
      </c>
      <c r="H121" s="10"/>
      <c r="I121" s="14"/>
      <c r="J121" s="17"/>
      <c r="K121" s="17"/>
    </row>
    <row r="122" spans="2:11" ht="15.75" x14ac:dyDescent="0.25">
      <c r="B122" s="1" t="s">
        <v>474</v>
      </c>
      <c r="D122" s="75">
        <f>+'NOTA 8-CEDULAS CxP '!B16</f>
        <v>1243395.3400000001</v>
      </c>
      <c r="E122" s="95">
        <v>138900</v>
      </c>
      <c r="F122" s="2">
        <f t="shared" si="3"/>
        <v>1104495.3400000001</v>
      </c>
      <c r="H122" s="10"/>
      <c r="I122" s="14"/>
      <c r="J122" s="17"/>
      <c r="K122" s="17"/>
    </row>
    <row r="123" spans="2:11" ht="15.75" x14ac:dyDescent="0.25">
      <c r="C123" s="182" t="s">
        <v>829</v>
      </c>
      <c r="D123" s="95"/>
      <c r="E123" s="95"/>
      <c r="H123" s="10"/>
      <c r="I123" s="14"/>
      <c r="J123" s="17"/>
      <c r="K123" s="17"/>
    </row>
    <row r="124" spans="2:11" ht="15.75" x14ac:dyDescent="0.25">
      <c r="B124" s="10" t="s">
        <v>129</v>
      </c>
      <c r="C124" s="14" t="s">
        <v>9</v>
      </c>
      <c r="D124" s="17">
        <f>SUM(D115:D122)</f>
        <v>6445789.6899999995</v>
      </c>
      <c r="E124" s="17">
        <f>SUM(E115:E122)</f>
        <v>1616949.46</v>
      </c>
      <c r="F124" s="17">
        <f>SUM(F115:F122)</f>
        <v>4828840.2300000004</v>
      </c>
      <c r="H124" s="10"/>
      <c r="I124" s="14"/>
      <c r="J124" s="17"/>
      <c r="K124" s="17"/>
    </row>
    <row r="125" spans="2:11" ht="15.75" x14ac:dyDescent="0.25">
      <c r="C125" s="14" t="s">
        <v>9</v>
      </c>
      <c r="H125" s="10"/>
      <c r="I125" s="14"/>
      <c r="J125" s="17"/>
      <c r="K125" s="17"/>
    </row>
    <row r="126" spans="2:11" ht="15.75" x14ac:dyDescent="0.25">
      <c r="C126" s="14" t="s">
        <v>9</v>
      </c>
      <c r="H126" s="10"/>
      <c r="I126" s="14"/>
      <c r="J126" s="17"/>
      <c r="K126" s="17"/>
    </row>
    <row r="127" spans="2:11" ht="15.75" x14ac:dyDescent="0.25">
      <c r="B127" s="10" t="s">
        <v>130</v>
      </c>
      <c r="C127" s="9">
        <v>9</v>
      </c>
      <c r="H127" s="10"/>
      <c r="I127" s="14"/>
      <c r="J127" s="17"/>
      <c r="K127" s="17"/>
    </row>
    <row r="128" spans="2:11" ht="15.75" x14ac:dyDescent="0.25">
      <c r="B128" s="1" t="s">
        <v>275</v>
      </c>
      <c r="D128" s="75">
        <f>+'NOTA 9-CEDULAS RETENCIO X PAGAR'!B10</f>
        <v>521220.67</v>
      </c>
      <c r="E128" s="2">
        <v>540307.75</v>
      </c>
      <c r="F128" s="2">
        <f t="shared" ref="F128:F137" si="4">D128-E128</f>
        <v>-19087.080000000016</v>
      </c>
      <c r="H128" s="10"/>
      <c r="I128" s="14"/>
      <c r="J128" s="17"/>
      <c r="K128" s="17"/>
    </row>
    <row r="129" spans="2:11" ht="15.75" x14ac:dyDescent="0.25">
      <c r="B129" s="1" t="s">
        <v>131</v>
      </c>
      <c r="C129" s="14" t="s">
        <v>9</v>
      </c>
      <c r="D129" s="75">
        <f>+'NOTA 9-CEDULAS RETENCIO X PAGAR'!B11</f>
        <v>9490561.1199999992</v>
      </c>
      <c r="E129" s="2">
        <v>8779987.1899999995</v>
      </c>
      <c r="F129" s="2">
        <f t="shared" si="4"/>
        <v>710573.9299999997</v>
      </c>
      <c r="H129" s="10"/>
      <c r="I129" s="14"/>
      <c r="J129" s="17"/>
      <c r="K129" s="17"/>
    </row>
    <row r="130" spans="2:11" ht="15.75" x14ac:dyDescent="0.25">
      <c r="B130" s="1" t="s">
        <v>276</v>
      </c>
      <c r="D130" s="75">
        <f>+'NOTA 9-CEDULAS RETENCIO X PAGAR'!B12</f>
        <v>0</v>
      </c>
      <c r="E130" s="2">
        <v>1577.45</v>
      </c>
      <c r="F130" s="2">
        <f t="shared" si="4"/>
        <v>-1577.45</v>
      </c>
      <c r="H130" s="10"/>
      <c r="I130" s="14"/>
      <c r="J130" s="17"/>
      <c r="K130" s="17"/>
    </row>
    <row r="131" spans="2:11" ht="15.75" x14ac:dyDescent="0.25">
      <c r="B131" s="1" t="s">
        <v>70</v>
      </c>
      <c r="C131" s="14" t="s">
        <v>9</v>
      </c>
      <c r="D131" s="75">
        <f>+'NOTA 9-CEDULAS RETENCIO X PAGAR'!B13</f>
        <v>3840319.21</v>
      </c>
      <c r="E131" s="2">
        <v>3587736.53</v>
      </c>
      <c r="F131" s="2">
        <f t="shared" si="4"/>
        <v>252582.68000000017</v>
      </c>
      <c r="H131" s="10"/>
      <c r="I131" s="14"/>
      <c r="J131" s="17"/>
      <c r="K131" s="17"/>
    </row>
    <row r="132" spans="2:11" ht="15.75" x14ac:dyDescent="0.25">
      <c r="B132" s="1" t="s">
        <v>277</v>
      </c>
      <c r="C132" s="14" t="s">
        <v>9</v>
      </c>
      <c r="D132" s="75">
        <f>+'NOTA 9-CEDULAS RETENCIO X PAGAR'!B14</f>
        <v>6011708.1399999997</v>
      </c>
      <c r="E132" s="4">
        <v>5397015.2199999997</v>
      </c>
      <c r="F132" s="2">
        <f t="shared" si="4"/>
        <v>614692.91999999993</v>
      </c>
      <c r="H132" s="10"/>
      <c r="I132" s="14"/>
      <c r="J132" s="17"/>
      <c r="K132" s="17"/>
    </row>
    <row r="133" spans="2:11" ht="15.75" x14ac:dyDescent="0.25">
      <c r="B133" s="1" t="s">
        <v>132</v>
      </c>
      <c r="D133" s="75">
        <f>+'NOTA 9-CEDULAS RETENCIO X PAGAR'!B15</f>
        <v>289722.56</v>
      </c>
      <c r="E133" s="4">
        <v>262227.24</v>
      </c>
      <c r="F133" s="2">
        <f t="shared" si="4"/>
        <v>27495.320000000007</v>
      </c>
      <c r="H133" s="10"/>
      <c r="I133" s="14"/>
      <c r="J133" s="17"/>
      <c r="K133" s="17"/>
    </row>
    <row r="134" spans="2:11" ht="15.75" x14ac:dyDescent="0.25">
      <c r="B134" s="1" t="s">
        <v>133</v>
      </c>
      <c r="C134" s="14" t="s">
        <v>9</v>
      </c>
      <c r="D134" s="75">
        <f>+'NOTA 9-CEDULAS RETENCIO X PAGAR'!B16</f>
        <v>3396342.29</v>
      </c>
      <c r="E134" s="4">
        <v>1464187.21</v>
      </c>
      <c r="F134" s="2">
        <f t="shared" si="4"/>
        <v>1932155.08</v>
      </c>
      <c r="H134" s="10"/>
      <c r="I134" s="14"/>
      <c r="J134" s="17"/>
      <c r="K134" s="17"/>
    </row>
    <row r="135" spans="2:11" ht="15.75" x14ac:dyDescent="0.25">
      <c r="B135" s="1" t="s">
        <v>278</v>
      </c>
      <c r="D135" s="75">
        <f>+'NOTA 9-CEDULAS RETENCIO X PAGAR'!B17</f>
        <v>197306.53</v>
      </c>
      <c r="E135" s="2">
        <v>302806.64</v>
      </c>
      <c r="F135" s="2">
        <f t="shared" si="4"/>
        <v>-105500.11000000002</v>
      </c>
      <c r="H135" s="10"/>
      <c r="I135" s="14"/>
      <c r="J135" s="17"/>
      <c r="K135" s="17"/>
    </row>
    <row r="136" spans="2:11" ht="15.75" x14ac:dyDescent="0.25">
      <c r="B136" s="1" t="s">
        <v>279</v>
      </c>
      <c r="D136" s="75">
        <f>+'NOTA 9-CEDULAS RETENCIO X PAGAR'!B18</f>
        <v>2702.54</v>
      </c>
      <c r="E136" s="2">
        <v>2406.4299999999998</v>
      </c>
      <c r="F136" s="2">
        <f t="shared" si="4"/>
        <v>296.11000000000013</v>
      </c>
      <c r="H136" s="10"/>
      <c r="I136" s="14"/>
      <c r="J136" s="17"/>
      <c r="K136" s="17"/>
    </row>
    <row r="137" spans="2:11" ht="15.75" x14ac:dyDescent="0.25">
      <c r="B137" s="1" t="s">
        <v>280</v>
      </c>
      <c r="D137" s="75">
        <f>+'NOTA 9-CEDULAS RETENCIO X PAGAR'!B19</f>
        <v>27025.49</v>
      </c>
      <c r="E137" s="2">
        <v>24064.240000000002</v>
      </c>
      <c r="F137" s="2">
        <f t="shared" si="4"/>
        <v>2961.25</v>
      </c>
      <c r="H137" s="10"/>
      <c r="I137" s="14"/>
      <c r="J137" s="17"/>
      <c r="K137" s="17"/>
    </row>
    <row r="138" spans="2:11" ht="15.75" x14ac:dyDescent="0.25">
      <c r="C138" s="182" t="s">
        <v>829</v>
      </c>
      <c r="H138" s="10"/>
      <c r="I138" s="14"/>
      <c r="J138" s="17"/>
      <c r="K138" s="17"/>
    </row>
    <row r="139" spans="2:11" s="186" customFormat="1" ht="33" customHeight="1" x14ac:dyDescent="0.25">
      <c r="B139" s="337" t="s">
        <v>134</v>
      </c>
      <c r="C139" s="14" t="s">
        <v>9</v>
      </c>
      <c r="D139" s="17">
        <f>SUM(D128:D137)</f>
        <v>23776908.549999997</v>
      </c>
      <c r="E139" s="17">
        <f>SUM(E128:E137)</f>
        <v>20362315.899999995</v>
      </c>
      <c r="F139" s="17">
        <f>SUM(F128:F137)</f>
        <v>3414592.65</v>
      </c>
    </row>
    <row r="140" spans="2:11" x14ac:dyDescent="0.2">
      <c r="C140" s="14" t="s">
        <v>9</v>
      </c>
    </row>
    <row r="141" spans="2:11" x14ac:dyDescent="0.2">
      <c r="C141" s="14" t="s">
        <v>9</v>
      </c>
    </row>
    <row r="142" spans="2:11" x14ac:dyDescent="0.2">
      <c r="C142" s="14" t="s">
        <v>9</v>
      </c>
    </row>
    <row r="143" spans="2:11" ht="15.75" x14ac:dyDescent="0.25">
      <c r="B143" s="10" t="s">
        <v>141</v>
      </c>
      <c r="C143" s="9">
        <v>10</v>
      </c>
    </row>
    <row r="144" spans="2:11" x14ac:dyDescent="0.2">
      <c r="B144" s="1" t="s">
        <v>373</v>
      </c>
      <c r="D144" s="2">
        <f>+'NOTA 10-OTRAS CXP'!C11</f>
        <v>120991200</v>
      </c>
      <c r="E144" s="2">
        <v>150991200</v>
      </c>
      <c r="F144" s="2">
        <f>D144-E144</f>
        <v>-30000000</v>
      </c>
    </row>
    <row r="145" spans="2:6" x14ac:dyDescent="0.2">
      <c r="C145" s="182" t="s">
        <v>829</v>
      </c>
    </row>
    <row r="146" spans="2:6" ht="15.75" x14ac:dyDescent="0.25">
      <c r="B146" s="10" t="s">
        <v>297</v>
      </c>
      <c r="C146" s="14" t="s">
        <v>9</v>
      </c>
      <c r="D146" s="17">
        <f>SUM(D144:D144)</f>
        <v>120991200</v>
      </c>
      <c r="E146" s="17">
        <f>SUM(E144:E144)</f>
        <v>150991200</v>
      </c>
      <c r="F146" s="17">
        <f>SUM(F144:F144)</f>
        <v>-30000000</v>
      </c>
    </row>
    <row r="147" spans="2:6" x14ac:dyDescent="0.2">
      <c r="C147" s="14" t="s">
        <v>9</v>
      </c>
      <c r="D147" s="1"/>
      <c r="E147" s="1"/>
      <c r="F147" s="1"/>
    </row>
    <row r="148" spans="2:6" x14ac:dyDescent="0.2">
      <c r="C148" s="14" t="s">
        <v>9</v>
      </c>
      <c r="D148" s="1"/>
      <c r="E148" s="1"/>
      <c r="F148" s="1"/>
    </row>
    <row r="149" spans="2:6" x14ac:dyDescent="0.2">
      <c r="E149" s="1"/>
      <c r="F149" s="1"/>
    </row>
    <row r="150" spans="2:6" x14ac:dyDescent="0.2">
      <c r="E150" s="1"/>
      <c r="F150" s="1"/>
    </row>
    <row r="151" spans="2:6" x14ac:dyDescent="0.2">
      <c r="E151" s="1"/>
      <c r="F151" s="1"/>
    </row>
    <row r="152" spans="2:6" x14ac:dyDescent="0.2">
      <c r="E152" s="1"/>
      <c r="F152" s="1"/>
    </row>
    <row r="153" spans="2:6" x14ac:dyDescent="0.2">
      <c r="E153" s="6"/>
      <c r="F153" s="1"/>
    </row>
    <row r="154" spans="2:6" x14ac:dyDescent="0.2">
      <c r="E154" s="1"/>
      <c r="F154" s="1"/>
    </row>
    <row r="155" spans="2:6" x14ac:dyDescent="0.2">
      <c r="E155" s="1"/>
      <c r="F155" s="1"/>
    </row>
    <row r="156" spans="2:6" x14ac:dyDescent="0.2">
      <c r="E156" s="1"/>
      <c r="F156" s="1"/>
    </row>
    <row r="157" spans="2:6" x14ac:dyDescent="0.2">
      <c r="E157" s="1"/>
      <c r="F157" s="1"/>
    </row>
    <row r="158" spans="2:6" x14ac:dyDescent="0.2">
      <c r="E158" s="1"/>
      <c r="F158" s="1"/>
    </row>
    <row r="159" spans="2:6" x14ac:dyDescent="0.2">
      <c r="E159" s="1"/>
      <c r="F159" s="1"/>
    </row>
    <row r="160" spans="2:6" x14ac:dyDescent="0.2">
      <c r="E160" s="1"/>
      <c r="F160" s="1"/>
    </row>
    <row r="161" spans="4:6" x14ac:dyDescent="0.2">
      <c r="E161" s="1"/>
      <c r="F161" s="1"/>
    </row>
    <row r="162" spans="4:6" x14ac:dyDescent="0.2">
      <c r="E162" s="1"/>
      <c r="F162" s="1"/>
    </row>
    <row r="163" spans="4:6" x14ac:dyDescent="0.2">
      <c r="D163" s="1"/>
      <c r="E163" s="1"/>
      <c r="F163" s="1"/>
    </row>
    <row r="164" spans="4:6" x14ac:dyDescent="0.2">
      <c r="D164" s="1"/>
      <c r="E164" s="1"/>
      <c r="F164" s="1"/>
    </row>
    <row r="165" spans="4:6" x14ac:dyDescent="0.2">
      <c r="D165" s="1"/>
      <c r="E165" s="1"/>
      <c r="F165" s="1"/>
    </row>
    <row r="166" spans="4:6" x14ac:dyDescent="0.2">
      <c r="D166" s="1"/>
      <c r="E166" s="1"/>
      <c r="F166" s="1"/>
    </row>
    <row r="167" spans="4:6" x14ac:dyDescent="0.2">
      <c r="D167" s="1"/>
      <c r="E167" s="1"/>
      <c r="F167" s="1"/>
    </row>
    <row r="168" spans="4:6" x14ac:dyDescent="0.2">
      <c r="D168" s="1"/>
      <c r="E168" s="1"/>
      <c r="F168" s="1"/>
    </row>
    <row r="169" spans="4:6" x14ac:dyDescent="0.2">
      <c r="D169" s="1"/>
      <c r="E169" s="1"/>
      <c r="F169" s="1"/>
    </row>
    <row r="170" spans="4:6" x14ac:dyDescent="0.2">
      <c r="D170" s="1"/>
      <c r="E170" s="1"/>
      <c r="F170" s="1"/>
    </row>
    <row r="171" spans="4:6" x14ac:dyDescent="0.2">
      <c r="D171" s="1"/>
      <c r="E171" s="1"/>
      <c r="F171" s="1"/>
    </row>
    <row r="172" spans="4:6" x14ac:dyDescent="0.2">
      <c r="D172" s="1"/>
      <c r="E172" s="1"/>
      <c r="F172" s="1"/>
    </row>
    <row r="173" spans="4:6" x14ac:dyDescent="0.2">
      <c r="D173" s="1"/>
      <c r="E173" s="1"/>
      <c r="F173" s="1"/>
    </row>
    <row r="174" spans="4:6" x14ac:dyDescent="0.2">
      <c r="D174" s="1"/>
      <c r="E174" s="1"/>
      <c r="F174" s="1"/>
    </row>
    <row r="175" spans="4:6" x14ac:dyDescent="0.2">
      <c r="D175" s="1"/>
      <c r="E175" s="1"/>
      <c r="F175" s="1"/>
    </row>
    <row r="176" spans="4:6" x14ac:dyDescent="0.2">
      <c r="D176" s="1"/>
      <c r="E176" s="1"/>
      <c r="F176" s="1"/>
    </row>
    <row r="177" spans="4:6" x14ac:dyDescent="0.2">
      <c r="D177" s="1"/>
      <c r="E177" s="1"/>
      <c r="F177" s="1"/>
    </row>
    <row r="178" spans="4:6" x14ac:dyDescent="0.2">
      <c r="D178" s="1"/>
      <c r="E178" s="1"/>
      <c r="F178" s="1"/>
    </row>
    <row r="179" spans="4:6" x14ac:dyDescent="0.2">
      <c r="D179" s="1"/>
      <c r="E179" s="1"/>
      <c r="F179" s="1"/>
    </row>
    <row r="180" spans="4:6" x14ac:dyDescent="0.2">
      <c r="D180" s="1"/>
      <c r="E180" s="1"/>
      <c r="F180" s="1"/>
    </row>
    <row r="181" spans="4:6" x14ac:dyDescent="0.2">
      <c r="D181" s="1"/>
      <c r="E181" s="1"/>
      <c r="F181" s="1"/>
    </row>
    <row r="182" spans="4:6" x14ac:dyDescent="0.2">
      <c r="D182" s="1"/>
      <c r="E182" s="1"/>
      <c r="F182" s="1"/>
    </row>
    <row r="183" spans="4:6" x14ac:dyDescent="0.2">
      <c r="D183" s="1"/>
      <c r="E183" s="1"/>
      <c r="F183" s="1"/>
    </row>
    <row r="184" spans="4:6" x14ac:dyDescent="0.2">
      <c r="D184" s="1"/>
      <c r="E184" s="1"/>
      <c r="F184" s="1"/>
    </row>
    <row r="185" spans="4:6" x14ac:dyDescent="0.2">
      <c r="D185" s="1"/>
      <c r="E185" s="1"/>
      <c r="F185" s="1"/>
    </row>
    <row r="186" spans="4:6" x14ac:dyDescent="0.2">
      <c r="D186" s="1"/>
      <c r="E186" s="1"/>
      <c r="F186" s="1"/>
    </row>
    <row r="187" spans="4:6" x14ac:dyDescent="0.2">
      <c r="D187" s="1"/>
      <c r="E187" s="1"/>
      <c r="F187" s="1"/>
    </row>
    <row r="188" spans="4:6" x14ac:dyDescent="0.2">
      <c r="D188" s="1"/>
      <c r="E188" s="1"/>
      <c r="F188" s="1"/>
    </row>
    <row r="189" spans="4:6" x14ac:dyDescent="0.2">
      <c r="D189" s="1"/>
      <c r="E189" s="1"/>
      <c r="F189" s="1"/>
    </row>
    <row r="190" spans="4:6" x14ac:dyDescent="0.2">
      <c r="D190" s="1"/>
      <c r="E190" s="1"/>
      <c r="F190" s="1"/>
    </row>
    <row r="191" spans="4:6" x14ac:dyDescent="0.2">
      <c r="D191" s="1"/>
      <c r="E191" s="1"/>
      <c r="F191" s="1"/>
    </row>
    <row r="192" spans="4:6" x14ac:dyDescent="0.2">
      <c r="D192" s="1"/>
      <c r="E192" s="1"/>
      <c r="F192" s="1"/>
    </row>
    <row r="193" spans="4:6" x14ac:dyDescent="0.2">
      <c r="D193" s="1"/>
      <c r="E193" s="1"/>
      <c r="F193" s="1"/>
    </row>
    <row r="194" spans="4:6" x14ac:dyDescent="0.2">
      <c r="D194" s="1"/>
      <c r="E194" s="1"/>
      <c r="F194" s="1"/>
    </row>
    <row r="195" spans="4:6" x14ac:dyDescent="0.2">
      <c r="D195" s="1"/>
      <c r="E195" s="1"/>
      <c r="F195" s="1"/>
    </row>
    <row r="196" spans="4:6" x14ac:dyDescent="0.2">
      <c r="D196" s="1"/>
      <c r="E196" s="1"/>
      <c r="F196" s="1"/>
    </row>
    <row r="197" spans="4:6" x14ac:dyDescent="0.2">
      <c r="D197" s="1"/>
      <c r="E197" s="1"/>
      <c r="F197" s="1"/>
    </row>
    <row r="198" spans="4:6" x14ac:dyDescent="0.2">
      <c r="D198" s="1"/>
      <c r="E198" s="1"/>
      <c r="F198" s="1"/>
    </row>
    <row r="199" spans="4:6" x14ac:dyDescent="0.2">
      <c r="D199" s="1"/>
      <c r="E199" s="1"/>
      <c r="F199" s="1"/>
    </row>
    <row r="200" spans="4:6" x14ac:dyDescent="0.2">
      <c r="D200" s="1"/>
      <c r="E200" s="1"/>
      <c r="F200" s="1"/>
    </row>
    <row r="201" spans="4:6" x14ac:dyDescent="0.2">
      <c r="D201" s="1"/>
      <c r="E201" s="1"/>
      <c r="F201" s="1"/>
    </row>
    <row r="202" spans="4:6" x14ac:dyDescent="0.2">
      <c r="D202" s="1"/>
      <c r="E202" s="1"/>
      <c r="F202" s="1"/>
    </row>
    <row r="203" spans="4:6" x14ac:dyDescent="0.2">
      <c r="D203" s="1"/>
      <c r="E203" s="1"/>
      <c r="F203" s="1"/>
    </row>
    <row r="204" spans="4:6" x14ac:dyDescent="0.2">
      <c r="D204" s="1"/>
      <c r="E204" s="1"/>
      <c r="F204" s="1"/>
    </row>
    <row r="205" spans="4:6" x14ac:dyDescent="0.2">
      <c r="D205" s="1"/>
      <c r="E205" s="1"/>
      <c r="F205" s="1"/>
    </row>
    <row r="206" spans="4:6" x14ac:dyDescent="0.2">
      <c r="D206" s="1"/>
      <c r="E206" s="1"/>
      <c r="F206" s="1"/>
    </row>
    <row r="207" spans="4:6" x14ac:dyDescent="0.2">
      <c r="D207" s="1"/>
      <c r="E207" s="1"/>
      <c r="F207" s="1"/>
    </row>
    <row r="208" spans="4:6" x14ac:dyDescent="0.2">
      <c r="D208" s="1"/>
      <c r="E208" s="1"/>
      <c r="F208" s="1"/>
    </row>
    <row r="209" spans="4:6" x14ac:dyDescent="0.2">
      <c r="D209" s="1"/>
      <c r="E209" s="1"/>
      <c r="F209" s="1"/>
    </row>
    <row r="210" spans="4:6" x14ac:dyDescent="0.2">
      <c r="D210" s="1"/>
      <c r="E210" s="1"/>
      <c r="F210" s="1"/>
    </row>
    <row r="211" spans="4:6" x14ac:dyDescent="0.2">
      <c r="D211" s="1"/>
      <c r="E211" s="1"/>
      <c r="F211" s="1"/>
    </row>
    <row r="212" spans="4:6" x14ac:dyDescent="0.2">
      <c r="D212" s="1"/>
      <c r="E212" s="1"/>
      <c r="F212" s="1"/>
    </row>
    <row r="213" spans="4:6" x14ac:dyDescent="0.2">
      <c r="D213" s="1"/>
      <c r="E213" s="1"/>
      <c r="F213" s="1"/>
    </row>
    <row r="214" spans="4:6" x14ac:dyDescent="0.2">
      <c r="D214" s="1"/>
      <c r="E214" s="1"/>
      <c r="F214" s="1"/>
    </row>
    <row r="215" spans="4:6" x14ac:dyDescent="0.2">
      <c r="D215" s="1"/>
      <c r="E215" s="1"/>
      <c r="F215" s="1"/>
    </row>
    <row r="216" spans="4:6" x14ac:dyDescent="0.2">
      <c r="D216" s="1"/>
      <c r="E216" s="1"/>
      <c r="F216" s="1"/>
    </row>
    <row r="217" spans="4:6" x14ac:dyDescent="0.2">
      <c r="D217" s="1"/>
      <c r="E217" s="1"/>
      <c r="F217" s="1"/>
    </row>
    <row r="218" spans="4:6" x14ac:dyDescent="0.2">
      <c r="D218" s="1"/>
      <c r="E218" s="1"/>
      <c r="F218" s="1"/>
    </row>
    <row r="219" spans="4:6" x14ac:dyDescent="0.2">
      <c r="D219" s="1"/>
      <c r="E219" s="1"/>
      <c r="F219" s="1"/>
    </row>
    <row r="220" spans="4:6" x14ac:dyDescent="0.2">
      <c r="D220" s="1"/>
      <c r="E220" s="1"/>
      <c r="F220" s="1"/>
    </row>
    <row r="221" spans="4:6" x14ac:dyDescent="0.2">
      <c r="D221" s="1"/>
      <c r="E221" s="1"/>
      <c r="F221" s="1"/>
    </row>
    <row r="222" spans="4:6" x14ac:dyDescent="0.2">
      <c r="D222" s="1"/>
      <c r="E222" s="1"/>
      <c r="F222" s="1"/>
    </row>
    <row r="223" spans="4:6" x14ac:dyDescent="0.2">
      <c r="D223" s="1"/>
      <c r="E223" s="1"/>
      <c r="F223" s="1"/>
    </row>
    <row r="224" spans="4:6" x14ac:dyDescent="0.2">
      <c r="D224" s="1"/>
      <c r="E224" s="1"/>
      <c r="F224" s="1"/>
    </row>
    <row r="225" spans="4:6" x14ac:dyDescent="0.2">
      <c r="D225" s="1"/>
      <c r="E225" s="1"/>
      <c r="F225" s="1"/>
    </row>
    <row r="226" spans="4:6" x14ac:dyDescent="0.2">
      <c r="D226" s="1"/>
      <c r="E226" s="1"/>
      <c r="F226" s="1"/>
    </row>
    <row r="227" spans="4:6" x14ac:dyDescent="0.2">
      <c r="D227" s="1"/>
      <c r="E227" s="1"/>
      <c r="F227" s="1"/>
    </row>
    <row r="228" spans="4:6" x14ac:dyDescent="0.2">
      <c r="D228" s="1"/>
      <c r="E228" s="1"/>
      <c r="F228" s="1"/>
    </row>
    <row r="229" spans="4:6" x14ac:dyDescent="0.2">
      <c r="D229" s="1"/>
      <c r="E229" s="1"/>
      <c r="F229" s="1"/>
    </row>
    <row r="230" spans="4:6" x14ac:dyDescent="0.2">
      <c r="D230" s="1"/>
      <c r="E230" s="1"/>
      <c r="F230" s="1"/>
    </row>
    <row r="231" spans="4:6" x14ac:dyDescent="0.2">
      <c r="D231" s="1"/>
      <c r="E231" s="1"/>
      <c r="F231" s="1"/>
    </row>
    <row r="232" spans="4:6" x14ac:dyDescent="0.2">
      <c r="D232" s="1"/>
      <c r="E232" s="1"/>
      <c r="F232" s="1"/>
    </row>
    <row r="233" spans="4:6" x14ac:dyDescent="0.2">
      <c r="D233" s="1"/>
      <c r="E233" s="1"/>
      <c r="F233" s="1"/>
    </row>
    <row r="234" spans="4:6" x14ac:dyDescent="0.2">
      <c r="D234" s="1"/>
      <c r="E234" s="1"/>
      <c r="F234" s="1"/>
    </row>
    <row r="235" spans="4:6" x14ac:dyDescent="0.2">
      <c r="D235" s="1"/>
      <c r="E235" s="1"/>
      <c r="F235" s="1"/>
    </row>
    <row r="236" spans="4:6" x14ac:dyDescent="0.2">
      <c r="D236" s="1"/>
      <c r="E236" s="1"/>
      <c r="F236" s="1"/>
    </row>
    <row r="237" spans="4:6" x14ac:dyDescent="0.2">
      <c r="D237" s="1"/>
      <c r="E237" s="1"/>
      <c r="F237" s="1"/>
    </row>
    <row r="238" spans="4:6" x14ac:dyDescent="0.2">
      <c r="D238" s="1"/>
      <c r="E238" s="1"/>
      <c r="F238" s="1"/>
    </row>
    <row r="239" spans="4:6" x14ac:dyDescent="0.2">
      <c r="D239" s="1"/>
      <c r="E239" s="1"/>
      <c r="F239" s="1"/>
    </row>
    <row r="240" spans="4:6" x14ac:dyDescent="0.2">
      <c r="D240" s="1"/>
      <c r="E240" s="1"/>
      <c r="F240" s="1"/>
    </row>
    <row r="241" spans="4:6" x14ac:dyDescent="0.2">
      <c r="D241" s="1"/>
      <c r="E241" s="1"/>
      <c r="F241" s="1"/>
    </row>
    <row r="242" spans="4:6" x14ac:dyDescent="0.2">
      <c r="D242" s="1"/>
      <c r="E242" s="1"/>
      <c r="F242" s="1"/>
    </row>
    <row r="243" spans="4:6" x14ac:dyDescent="0.2">
      <c r="D243" s="1"/>
      <c r="E243" s="1"/>
      <c r="F243" s="1"/>
    </row>
    <row r="244" spans="4:6" x14ac:dyDescent="0.2">
      <c r="D244" s="1"/>
      <c r="E244" s="1"/>
      <c r="F244" s="1"/>
    </row>
    <row r="245" spans="4:6" x14ac:dyDescent="0.2">
      <c r="D245" s="1"/>
      <c r="E245" s="1"/>
      <c r="F245" s="1"/>
    </row>
    <row r="246" spans="4:6" x14ac:dyDescent="0.2">
      <c r="D246" s="1"/>
      <c r="E246" s="1"/>
      <c r="F246" s="1"/>
    </row>
    <row r="247" spans="4:6" x14ac:dyDescent="0.2">
      <c r="D247" s="1"/>
      <c r="E247" s="1"/>
      <c r="F247" s="1"/>
    </row>
    <row r="248" spans="4:6" x14ac:dyDescent="0.2">
      <c r="D248" s="1"/>
      <c r="E248" s="1"/>
      <c r="F248" s="1"/>
    </row>
    <row r="249" spans="4:6" x14ac:dyDescent="0.2">
      <c r="D249" s="1"/>
      <c r="E249" s="1"/>
      <c r="F249" s="1"/>
    </row>
    <row r="250" spans="4:6" x14ac:dyDescent="0.2">
      <c r="D250" s="1"/>
      <c r="E250" s="1"/>
      <c r="F250" s="1"/>
    </row>
    <row r="251" spans="4:6" x14ac:dyDescent="0.2">
      <c r="D251" s="1"/>
      <c r="E251" s="1"/>
      <c r="F251" s="1"/>
    </row>
    <row r="252" spans="4:6" x14ac:dyDescent="0.2">
      <c r="D252" s="1"/>
      <c r="E252" s="1"/>
      <c r="F252" s="1"/>
    </row>
    <row r="253" spans="4:6" x14ac:dyDescent="0.2">
      <c r="D253" s="1"/>
      <c r="E253" s="1"/>
      <c r="F253" s="1"/>
    </row>
    <row r="254" spans="4:6" x14ac:dyDescent="0.2">
      <c r="D254" s="1"/>
      <c r="E254" s="1"/>
      <c r="F254" s="1"/>
    </row>
    <row r="255" spans="4:6" x14ac:dyDescent="0.2">
      <c r="D255" s="1"/>
      <c r="E255" s="1"/>
      <c r="F255" s="1"/>
    </row>
    <row r="256" spans="4:6" x14ac:dyDescent="0.2">
      <c r="D256" s="1"/>
      <c r="E256" s="1"/>
      <c r="F256" s="1"/>
    </row>
    <row r="257" spans="4:6" x14ac:dyDescent="0.2">
      <c r="D257" s="1"/>
      <c r="E257" s="1"/>
      <c r="F257" s="1"/>
    </row>
    <row r="258" spans="4:6" x14ac:dyDescent="0.2">
      <c r="D258" s="1"/>
      <c r="E258" s="1"/>
      <c r="F258" s="1"/>
    </row>
    <row r="259" spans="4:6" x14ac:dyDescent="0.2">
      <c r="D259" s="1"/>
      <c r="E259" s="1"/>
      <c r="F259" s="1"/>
    </row>
    <row r="260" spans="4:6" x14ac:dyDescent="0.2">
      <c r="D260" s="1"/>
      <c r="E260" s="1"/>
      <c r="F260" s="1"/>
    </row>
    <row r="261" spans="4:6" x14ac:dyDescent="0.2">
      <c r="D261" s="1"/>
      <c r="E261" s="1"/>
      <c r="F261" s="1"/>
    </row>
    <row r="262" spans="4:6" x14ac:dyDescent="0.2">
      <c r="D262" s="1"/>
      <c r="E262" s="1"/>
      <c r="F262" s="1"/>
    </row>
    <row r="263" spans="4:6" x14ac:dyDescent="0.2">
      <c r="D263" s="1"/>
      <c r="E263" s="1"/>
      <c r="F263" s="1"/>
    </row>
  </sheetData>
  <pageMargins left="0.70866141732283472" right="0.51181102362204722" top="0.51181102362204722" bottom="0.94488188976377963" header="0.31496062992125984" footer="0.31496062992125984"/>
  <pageSetup scale="55" orientation="portrait" horizontalDpi="4294967293" r:id="rId1"/>
  <headerFooter>
    <oddFooter>Page &amp;P of &amp;N</oddFooter>
  </headerFooter>
  <rowBreaks count="1" manualBreakCount="1">
    <brk id="81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B6:K165"/>
  <sheetViews>
    <sheetView view="pageBreakPreview" zoomScale="60" zoomScaleNormal="80" workbookViewId="0">
      <selection activeCell="F19" sqref="F19"/>
    </sheetView>
  </sheetViews>
  <sheetFormatPr baseColWidth="10" defaultColWidth="11.5703125" defaultRowHeight="15" x14ac:dyDescent="0.2"/>
  <cols>
    <col min="1" max="1" width="5.140625" style="1" customWidth="1"/>
    <col min="2" max="2" width="35.140625" style="1" customWidth="1"/>
    <col min="3" max="3" width="10.7109375" style="1" customWidth="1"/>
    <col min="4" max="4" width="19.7109375" style="1" bestFit="1" customWidth="1"/>
    <col min="5" max="5" width="20.140625" style="1" bestFit="1" customWidth="1"/>
    <col min="6" max="6" width="28.42578125" style="1" bestFit="1" customWidth="1"/>
    <col min="7" max="7" width="20.140625" style="1" bestFit="1" customWidth="1"/>
    <col min="8" max="8" width="29" style="1" bestFit="1" customWidth="1"/>
    <col min="9" max="9" width="20.140625" style="1" bestFit="1" customWidth="1"/>
    <col min="10" max="10" width="29" style="1" bestFit="1" customWidth="1"/>
    <col min="11" max="11" width="18.140625" style="1" customWidth="1"/>
    <col min="12" max="16384" width="11.5703125" style="1"/>
  </cols>
  <sheetData>
    <row r="6" spans="2:11" s="342" customFormat="1" ht="21" customHeight="1" x14ac:dyDescent="0.25">
      <c r="B6" s="340" t="str">
        <f>+'A-SITUACION (2)'!B6</f>
        <v xml:space="preserve">ANEXOS DE ESTADO DE SITUACIÓN </v>
      </c>
    </row>
    <row r="7" spans="2:11" s="342" customFormat="1" ht="21.75" customHeight="1" x14ac:dyDescent="0.25">
      <c r="B7" s="340" t="s">
        <v>816</v>
      </c>
    </row>
    <row r="8" spans="2:11" s="342" customFormat="1" ht="18.75" customHeight="1" x14ac:dyDescent="0.25">
      <c r="B8" s="340" t="str">
        <f>+'A-SITUACION (2)'!B8</f>
        <v>VALORES EXPRESADO EN RD$</v>
      </c>
      <c r="J8" s="371"/>
    </row>
    <row r="9" spans="2:11" s="342" customFormat="1" ht="18" x14ac:dyDescent="0.25">
      <c r="J9" s="371"/>
    </row>
    <row r="10" spans="2:11" s="342" customFormat="1" ht="18" x14ac:dyDescent="0.25">
      <c r="C10" s="345" t="s">
        <v>142</v>
      </c>
      <c r="D10" s="341">
        <v>11</v>
      </c>
      <c r="G10" s="372"/>
      <c r="H10" s="372"/>
      <c r="I10" s="372"/>
      <c r="J10" s="371"/>
    </row>
    <row r="11" spans="2:11" s="342" customFormat="1" ht="18" x14ac:dyDescent="0.25"/>
    <row r="12" spans="2:11" s="342" customFormat="1" ht="28.5" customHeight="1" x14ac:dyDescent="0.25">
      <c r="B12" s="340" t="s">
        <v>569</v>
      </c>
    </row>
    <row r="13" spans="2:11" s="342" customFormat="1" ht="28.5" customHeight="1" x14ac:dyDescent="0.25">
      <c r="B13" s="340"/>
    </row>
    <row r="14" spans="2:11" s="342" customFormat="1" ht="18.75" customHeight="1" x14ac:dyDescent="0.25">
      <c r="D14" s="373" t="s">
        <v>240</v>
      </c>
      <c r="E14" s="396" t="s">
        <v>819</v>
      </c>
      <c r="F14" s="397"/>
      <c r="G14" s="396" t="s">
        <v>576</v>
      </c>
      <c r="H14" s="397"/>
      <c r="I14" s="374" t="s">
        <v>571</v>
      </c>
      <c r="J14" s="375"/>
    </row>
    <row r="15" spans="2:11" ht="18.75" customHeight="1" x14ac:dyDescent="0.25">
      <c r="D15" s="165" t="s">
        <v>96</v>
      </c>
      <c r="E15" s="174" t="s">
        <v>98</v>
      </c>
      <c r="F15" s="166" t="s">
        <v>146</v>
      </c>
      <c r="G15" s="174" t="s">
        <v>98</v>
      </c>
      <c r="H15" s="166" t="s">
        <v>146</v>
      </c>
      <c r="I15" s="174" t="s">
        <v>98</v>
      </c>
      <c r="J15" s="166" t="s">
        <v>146</v>
      </c>
    </row>
    <row r="16" spans="2:11" ht="18.75" customHeight="1" x14ac:dyDescent="0.25">
      <c r="B16" s="167" t="s">
        <v>322</v>
      </c>
      <c r="D16" s="165" t="s">
        <v>97</v>
      </c>
      <c r="E16" s="9" t="s">
        <v>99</v>
      </c>
      <c r="F16" s="168" t="s">
        <v>147</v>
      </c>
      <c r="G16" s="9" t="s">
        <v>99</v>
      </c>
      <c r="H16" s="168" t="s">
        <v>147</v>
      </c>
      <c r="I16" s="9" t="s">
        <v>99</v>
      </c>
      <c r="J16" s="168" t="s">
        <v>147</v>
      </c>
      <c r="K16" s="169"/>
    </row>
    <row r="17" spans="2:10" ht="18.75" customHeight="1" x14ac:dyDescent="0.2">
      <c r="D17" s="170"/>
      <c r="F17" s="171"/>
      <c r="H17" s="171"/>
      <c r="I17" s="4"/>
      <c r="J17" s="171"/>
    </row>
    <row r="18" spans="2:10" ht="18.75" customHeight="1" x14ac:dyDescent="0.2">
      <c r="B18" s="1" t="s">
        <v>244</v>
      </c>
      <c r="D18" s="172">
        <v>49.500102454999997</v>
      </c>
      <c r="E18" s="175">
        <f>F18/100</f>
        <v>6953497</v>
      </c>
      <c r="F18" s="171">
        <v>695349700</v>
      </c>
      <c r="G18" s="175">
        <v>6953497</v>
      </c>
      <c r="H18" s="171">
        <v>695349700</v>
      </c>
      <c r="I18" s="175">
        <v>3459281</v>
      </c>
      <c r="J18" s="171">
        <v>345928100</v>
      </c>
    </row>
    <row r="19" spans="2:10" ht="18.75" customHeight="1" x14ac:dyDescent="0.2">
      <c r="B19" s="1" t="s">
        <v>91</v>
      </c>
      <c r="D19" s="172">
        <v>49.590354330700002</v>
      </c>
      <c r="E19" s="175">
        <f>F19/100</f>
        <v>2519190</v>
      </c>
      <c r="F19" s="171">
        <f>251919000+0</f>
        <v>251919000</v>
      </c>
      <c r="G19" s="175">
        <v>2519190</v>
      </c>
      <c r="H19" s="171">
        <v>251919000</v>
      </c>
      <c r="I19" s="175">
        <v>2519190</v>
      </c>
      <c r="J19" s="171">
        <v>251919000</v>
      </c>
    </row>
    <row r="20" spans="2:10" ht="18.75" customHeight="1" x14ac:dyDescent="0.2">
      <c r="B20" s="1" t="s">
        <v>814</v>
      </c>
      <c r="D20" s="172">
        <v>49.9739570395</v>
      </c>
      <c r="E20" s="175">
        <f>F20/100</f>
        <v>28163101</v>
      </c>
      <c r="F20" s="171">
        <v>2816310100</v>
      </c>
      <c r="G20" s="175">
        <v>28163101</v>
      </c>
      <c r="H20" s="171">
        <v>2816310100</v>
      </c>
      <c r="I20" s="175">
        <v>28163101</v>
      </c>
      <c r="J20" s="171">
        <v>2816310100</v>
      </c>
    </row>
    <row r="21" spans="2:10" ht="18.75" customHeight="1" x14ac:dyDescent="0.2">
      <c r="B21" s="1" t="s">
        <v>92</v>
      </c>
      <c r="D21" s="172">
        <v>49.993471306399996</v>
      </c>
      <c r="E21" s="175">
        <f>2297250000/100</f>
        <v>22972500</v>
      </c>
      <c r="F21" s="171">
        <f>8255839712.26+0</f>
        <v>8255839712.2600002</v>
      </c>
      <c r="G21" s="175">
        <v>22972500</v>
      </c>
      <c r="H21" s="171">
        <v>8255839712.2600002</v>
      </c>
      <c r="I21" s="175">
        <v>22972500</v>
      </c>
      <c r="J21" s="171">
        <v>8255839712.2600002</v>
      </c>
    </row>
    <row r="22" spans="2:10" ht="18.75" customHeight="1" x14ac:dyDescent="0.2">
      <c r="B22" s="1" t="s">
        <v>93</v>
      </c>
      <c r="D22" s="172">
        <v>99.960759730299998</v>
      </c>
      <c r="E22" s="175">
        <f>F22/100</f>
        <v>34750978</v>
      </c>
      <c r="F22" s="171">
        <v>3475097800</v>
      </c>
      <c r="G22" s="175">
        <v>34750978</v>
      </c>
      <c r="H22" s="171">
        <v>3475097800</v>
      </c>
      <c r="I22" s="175">
        <v>34750978</v>
      </c>
      <c r="J22" s="171">
        <v>3475097800</v>
      </c>
    </row>
    <row r="23" spans="2:10" ht="18.75" customHeight="1" x14ac:dyDescent="0.2">
      <c r="B23" s="1" t="s">
        <v>94</v>
      </c>
      <c r="D23" s="172">
        <v>99.979305835000005</v>
      </c>
      <c r="E23" s="175">
        <f>F23/100</f>
        <v>32403395</v>
      </c>
      <c r="F23" s="171">
        <v>3240339500</v>
      </c>
      <c r="G23" s="175">
        <v>32403395</v>
      </c>
      <c r="H23" s="171">
        <v>3240339500</v>
      </c>
      <c r="I23" s="175">
        <v>32403395</v>
      </c>
      <c r="J23" s="171">
        <v>3240339500</v>
      </c>
    </row>
    <row r="24" spans="2:10" ht="18.75" customHeight="1" x14ac:dyDescent="0.2">
      <c r="B24" s="1" t="s">
        <v>95</v>
      </c>
      <c r="D24" s="172">
        <v>99.9381695318</v>
      </c>
      <c r="E24" s="175">
        <f>F24/100</f>
        <v>34628160</v>
      </c>
      <c r="F24" s="171">
        <v>3462816000</v>
      </c>
      <c r="G24" s="175">
        <v>34628160</v>
      </c>
      <c r="H24" s="171">
        <v>3462816000</v>
      </c>
      <c r="I24" s="175">
        <v>34628160</v>
      </c>
      <c r="J24" s="171">
        <v>3462816000</v>
      </c>
    </row>
    <row r="25" spans="2:10" ht="18.75" customHeight="1" x14ac:dyDescent="0.2">
      <c r="D25" s="170"/>
      <c r="F25" s="170"/>
      <c r="H25" s="170"/>
      <c r="J25" s="170"/>
    </row>
    <row r="26" spans="2:10" ht="18.75" customHeight="1" x14ac:dyDescent="0.25">
      <c r="B26" s="10" t="s">
        <v>135</v>
      </c>
      <c r="D26" s="28"/>
      <c r="E26" s="49"/>
      <c r="F26" s="176">
        <f>SUM(F18:F25)</f>
        <v>22197671812.260002</v>
      </c>
      <c r="G26" s="49"/>
      <c r="H26" s="176">
        <f>SUM(H18:H25)</f>
        <v>22197671812.260002</v>
      </c>
      <c r="I26" s="113"/>
      <c r="J26" s="176">
        <f>SUM(J18:J25)</f>
        <v>21848250212.260002</v>
      </c>
    </row>
    <row r="28" spans="2:10" x14ac:dyDescent="0.2">
      <c r="F28" s="6"/>
    </row>
    <row r="30" spans="2:10" x14ac:dyDescent="0.2">
      <c r="F30" s="6"/>
    </row>
    <row r="158" spans="11:11" x14ac:dyDescent="0.2">
      <c r="K158" s="173"/>
    </row>
    <row r="159" spans="11:11" x14ac:dyDescent="0.2">
      <c r="K159" s="173"/>
    </row>
    <row r="160" spans="11:11" x14ac:dyDescent="0.2">
      <c r="K160" s="173"/>
    </row>
    <row r="161" spans="11:11" x14ac:dyDescent="0.2">
      <c r="K161" s="173"/>
    </row>
    <row r="162" spans="11:11" x14ac:dyDescent="0.2">
      <c r="K162" s="173"/>
    </row>
    <row r="163" spans="11:11" x14ac:dyDescent="0.2">
      <c r="K163" s="173"/>
    </row>
    <row r="164" spans="11:11" x14ac:dyDescent="0.2">
      <c r="K164" s="173"/>
    </row>
    <row r="165" spans="11:11" x14ac:dyDescent="0.2">
      <c r="K165" s="173"/>
    </row>
  </sheetData>
  <mergeCells count="2">
    <mergeCell ref="E14:F14"/>
    <mergeCell ref="G14:H14"/>
  </mergeCells>
  <pageMargins left="0.70866141732283472" right="0.70866141732283472" top="0.74803149606299213" bottom="0.74803149606299213" header="0.31496062992125984" footer="0.31496062992125984"/>
  <pageSetup scale="42" firstPageNumber="3" fitToHeight="10" orientation="portrait" useFirstPageNumber="1" horizontalDpi="4294967293" r:id="rId1"/>
  <headerFooter>
    <oddHeader>&amp;RPágina  &amp;P</oddHeader>
  </headerFooter>
  <ignoredErrors>
    <ignoredError sqref="E2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2:N194"/>
  <sheetViews>
    <sheetView view="pageBreakPreview" topLeftCell="A110" zoomScaleNormal="100" zoomScaleSheetLayoutView="100" workbookViewId="0">
      <selection activeCell="F27" sqref="F27"/>
    </sheetView>
  </sheetViews>
  <sheetFormatPr baseColWidth="10" defaultColWidth="11.5703125" defaultRowHeight="15" x14ac:dyDescent="0.2"/>
  <cols>
    <col min="1" max="1" width="4.5703125" style="1" customWidth="1"/>
    <col min="2" max="2" width="74.140625" style="1" customWidth="1"/>
    <col min="3" max="3" width="10.85546875" style="14" customWidth="1"/>
    <col min="4" max="4" width="28" style="2" customWidth="1"/>
    <col min="5" max="5" width="29.42578125" style="2" customWidth="1"/>
    <col min="6" max="6" width="25.85546875" style="2" customWidth="1"/>
    <col min="7" max="7" width="2.5703125" style="1" customWidth="1"/>
    <col min="8" max="8" width="28.42578125" style="1" customWidth="1"/>
    <col min="9" max="10" width="11.5703125" style="1"/>
    <col min="11" max="11" width="13.5703125" style="1" customWidth="1"/>
    <col min="12" max="12" width="12.85546875" style="1" bestFit="1" customWidth="1"/>
    <col min="13" max="13" width="11.5703125" style="1"/>
    <col min="14" max="14" width="13.5703125" style="1" customWidth="1"/>
    <col min="15" max="16384" width="11.5703125" style="1"/>
  </cols>
  <sheetData>
    <row r="2" spans="2:6" ht="27" customHeight="1" x14ac:dyDescent="0.2"/>
    <row r="5" spans="2:6" s="342" customFormat="1" ht="19.5" customHeight="1" x14ac:dyDescent="0.25">
      <c r="B5" s="340" t="s">
        <v>136</v>
      </c>
      <c r="C5" s="347"/>
      <c r="D5" s="343"/>
      <c r="E5" s="343"/>
      <c r="F5" s="343"/>
    </row>
    <row r="6" spans="2:6" s="342" customFormat="1" ht="16.5" customHeight="1" x14ac:dyDescent="0.25">
      <c r="B6" s="340" t="s">
        <v>816</v>
      </c>
      <c r="C6" s="347"/>
      <c r="D6" s="343"/>
      <c r="E6" s="343"/>
      <c r="F6" s="343"/>
    </row>
    <row r="7" spans="2:6" s="342" customFormat="1" ht="20.25" customHeight="1" x14ac:dyDescent="0.25">
      <c r="B7" s="340" t="s">
        <v>241</v>
      </c>
      <c r="C7" s="347"/>
      <c r="D7" s="343"/>
      <c r="E7" s="343"/>
      <c r="F7" s="343"/>
    </row>
    <row r="8" spans="2:6" s="342" customFormat="1" ht="18" x14ac:dyDescent="0.25">
      <c r="C8" s="347"/>
      <c r="D8" s="343"/>
      <c r="E8" s="343"/>
      <c r="F8" s="343"/>
    </row>
    <row r="9" spans="2:6" s="342" customFormat="1" ht="36.75" customHeight="1" x14ac:dyDescent="0.25">
      <c r="C9" s="345" t="s">
        <v>100</v>
      </c>
      <c r="D9" s="345" t="s">
        <v>179</v>
      </c>
      <c r="E9" s="345" t="s">
        <v>180</v>
      </c>
      <c r="F9" s="345" t="s">
        <v>90</v>
      </c>
    </row>
    <row r="10" spans="2:6" ht="15.75" x14ac:dyDescent="0.25">
      <c r="C10" s="178" t="s">
        <v>9</v>
      </c>
      <c r="D10" s="95"/>
      <c r="E10" s="95"/>
      <c r="F10" s="95"/>
    </row>
    <row r="11" spans="2:6" ht="38.25" customHeight="1" x14ac:dyDescent="0.25">
      <c r="B11" s="180" t="s">
        <v>551</v>
      </c>
      <c r="C11" s="178">
        <v>12</v>
      </c>
      <c r="D11" s="95">
        <v>0</v>
      </c>
      <c r="E11" s="95">
        <v>0</v>
      </c>
      <c r="F11" s="95">
        <f>D11-E11</f>
        <v>0</v>
      </c>
    </row>
    <row r="12" spans="2:6" ht="15.75" x14ac:dyDescent="0.25">
      <c r="C12" s="179" t="s">
        <v>815</v>
      </c>
      <c r="D12" s="95"/>
      <c r="E12" s="95"/>
      <c r="F12" s="95"/>
    </row>
    <row r="13" spans="2:6" ht="39" customHeight="1" x14ac:dyDescent="0.25">
      <c r="B13" s="180" t="s">
        <v>552</v>
      </c>
      <c r="C13" s="178"/>
      <c r="D13" s="119">
        <f>SUM(D11)</f>
        <v>0</v>
      </c>
      <c r="E13" s="119">
        <f>SUM(E11)</f>
        <v>0</v>
      </c>
      <c r="F13" s="119">
        <f>SUM(F11)</f>
        <v>0</v>
      </c>
    </row>
    <row r="14" spans="2:6" ht="15.75" x14ac:dyDescent="0.25">
      <c r="C14" s="178" t="s">
        <v>9</v>
      </c>
      <c r="D14" s="95"/>
      <c r="E14" s="95"/>
      <c r="F14" s="95"/>
    </row>
    <row r="15" spans="2:6" ht="12" customHeight="1" x14ac:dyDescent="0.25">
      <c r="C15" s="178" t="s">
        <v>9</v>
      </c>
      <c r="D15" s="95"/>
      <c r="E15" s="95"/>
      <c r="F15" s="95"/>
    </row>
    <row r="16" spans="2:6" ht="15.75" x14ac:dyDescent="0.25">
      <c r="B16" s="10" t="s">
        <v>101</v>
      </c>
      <c r="C16" s="178">
        <v>13</v>
      </c>
      <c r="D16" s="95"/>
      <c r="E16" s="95"/>
      <c r="F16" s="95"/>
    </row>
    <row r="17" spans="2:6" ht="15.75" x14ac:dyDescent="0.25">
      <c r="B17" s="1" t="s">
        <v>71</v>
      </c>
      <c r="C17" s="178"/>
      <c r="D17" s="75">
        <v>85342433.310000002</v>
      </c>
      <c r="E17" s="75">
        <v>73101233.309999987</v>
      </c>
      <c r="F17" s="95">
        <f>D17-E17</f>
        <v>12241200.000000015</v>
      </c>
    </row>
    <row r="18" spans="2:6" ht="15.75" x14ac:dyDescent="0.25">
      <c r="C18" s="179" t="s">
        <v>815</v>
      </c>
      <c r="D18" s="95"/>
      <c r="E18" s="95"/>
      <c r="F18" s="95"/>
    </row>
    <row r="19" spans="2:6" ht="15.75" x14ac:dyDescent="0.25">
      <c r="B19" s="10" t="s">
        <v>102</v>
      </c>
      <c r="C19" s="178"/>
      <c r="D19" s="119">
        <f>SUM(D17:D17)</f>
        <v>85342433.310000002</v>
      </c>
      <c r="E19" s="119">
        <f>SUM(E17:E17)</f>
        <v>73101233.309999987</v>
      </c>
      <c r="F19" s="119">
        <f>SUM(F17:F17)</f>
        <v>12241200.000000015</v>
      </c>
    </row>
    <row r="20" spans="2:6" ht="15.75" x14ac:dyDescent="0.25">
      <c r="C20" s="178" t="s">
        <v>9</v>
      </c>
      <c r="D20" s="75"/>
      <c r="E20" s="95"/>
      <c r="F20" s="95"/>
    </row>
    <row r="21" spans="2:6" ht="15.75" x14ac:dyDescent="0.25">
      <c r="C21" s="178" t="s">
        <v>9</v>
      </c>
      <c r="D21" s="95"/>
      <c r="E21" s="95"/>
      <c r="F21" s="95"/>
    </row>
    <row r="22" spans="2:6" ht="15.75" x14ac:dyDescent="0.25">
      <c r="B22" s="10" t="s">
        <v>103</v>
      </c>
      <c r="C22" s="178">
        <v>14</v>
      </c>
      <c r="D22" s="95"/>
      <c r="E22" s="95"/>
      <c r="F22" s="95"/>
    </row>
    <row r="23" spans="2:6" ht="15.75" x14ac:dyDescent="0.25">
      <c r="B23" s="1" t="s">
        <v>72</v>
      </c>
      <c r="C23" s="178" t="s">
        <v>9</v>
      </c>
      <c r="D23" s="75">
        <v>570076.03</v>
      </c>
      <c r="E23" s="75">
        <v>206060.9</v>
      </c>
      <c r="F23" s="95">
        <f>D23-E23</f>
        <v>364015.13</v>
      </c>
    </row>
    <row r="24" spans="2:6" ht="15.75" x14ac:dyDescent="0.25">
      <c r="C24" s="179" t="s">
        <v>815</v>
      </c>
      <c r="D24" s="95"/>
      <c r="E24" s="95"/>
      <c r="F24" s="95"/>
    </row>
    <row r="25" spans="2:6" ht="15.75" x14ac:dyDescent="0.25">
      <c r="B25" s="10" t="s">
        <v>104</v>
      </c>
      <c r="C25" s="178"/>
      <c r="D25" s="119">
        <f>SUM(D23:D23)</f>
        <v>570076.03</v>
      </c>
      <c r="E25" s="119">
        <f>SUM(E23:E23)</f>
        <v>206060.9</v>
      </c>
      <c r="F25" s="119">
        <f>SUM(F23:F23)</f>
        <v>364015.13</v>
      </c>
    </row>
    <row r="26" spans="2:6" ht="15.75" x14ac:dyDescent="0.25">
      <c r="C26" s="178" t="s">
        <v>9</v>
      </c>
      <c r="D26" s="95"/>
      <c r="E26" s="95"/>
      <c r="F26" s="95"/>
    </row>
    <row r="27" spans="2:6" ht="15.75" x14ac:dyDescent="0.25">
      <c r="C27" s="178" t="s">
        <v>9</v>
      </c>
      <c r="D27" s="95"/>
      <c r="E27" s="95"/>
      <c r="F27" s="95"/>
    </row>
    <row r="28" spans="2:6" ht="15.75" x14ac:dyDescent="0.25">
      <c r="B28" s="10" t="s">
        <v>105</v>
      </c>
      <c r="C28" s="178">
        <v>15</v>
      </c>
      <c r="D28" s="95"/>
      <c r="E28" s="95"/>
      <c r="F28" s="95"/>
    </row>
    <row r="29" spans="2:6" ht="15.75" x14ac:dyDescent="0.25">
      <c r="B29" s="1" t="s">
        <v>106</v>
      </c>
      <c r="C29" s="178" t="s">
        <v>9</v>
      </c>
      <c r="D29" s="75">
        <v>60753122.68</v>
      </c>
      <c r="E29" s="95">
        <v>53238711.93</v>
      </c>
      <c r="F29" s="95">
        <f t="shared" ref="F29:F47" si="0">D29-E29</f>
        <v>7514410.75</v>
      </c>
    </row>
    <row r="30" spans="2:6" ht="15.75" x14ac:dyDescent="0.25">
      <c r="B30" s="1" t="s">
        <v>245</v>
      </c>
      <c r="C30" s="178" t="s">
        <v>9</v>
      </c>
      <c r="D30" s="95">
        <v>1475000</v>
      </c>
      <c r="E30" s="95">
        <v>1275000</v>
      </c>
      <c r="F30" s="95">
        <f t="shared" si="0"/>
        <v>200000</v>
      </c>
    </row>
    <row r="31" spans="2:6" ht="15.75" x14ac:dyDescent="0.25">
      <c r="B31" s="1" t="s">
        <v>198</v>
      </c>
      <c r="C31" s="178"/>
      <c r="D31" s="95">
        <v>138900</v>
      </c>
      <c r="E31" s="95">
        <v>138900</v>
      </c>
      <c r="F31" s="95">
        <f t="shared" si="0"/>
        <v>0</v>
      </c>
    </row>
    <row r="32" spans="2:6" ht="15.75" hidden="1" x14ac:dyDescent="0.25">
      <c r="B32" s="1" t="s">
        <v>349</v>
      </c>
      <c r="C32" s="178"/>
      <c r="D32" s="95">
        <v>0</v>
      </c>
      <c r="E32" s="95">
        <v>0</v>
      </c>
      <c r="F32" s="95">
        <f t="shared" si="0"/>
        <v>0</v>
      </c>
    </row>
    <row r="33" spans="2:6" ht="15.75" x14ac:dyDescent="0.25">
      <c r="B33" s="1" t="s">
        <v>246</v>
      </c>
      <c r="C33" s="178" t="s">
        <v>9</v>
      </c>
      <c r="D33" s="95">
        <v>4276988.4400000004</v>
      </c>
      <c r="E33" s="95">
        <v>3776535.94</v>
      </c>
      <c r="F33" s="95">
        <f>D33-E33</f>
        <v>500452.50000000047</v>
      </c>
    </row>
    <row r="34" spans="2:6" ht="15.75" x14ac:dyDescent="0.25">
      <c r="B34" s="1" t="s">
        <v>247</v>
      </c>
      <c r="C34" s="178"/>
      <c r="D34" s="95">
        <v>214526.01</v>
      </c>
      <c r="E34" s="95">
        <v>162265.9</v>
      </c>
      <c r="F34" s="95">
        <f t="shared" si="0"/>
        <v>52260.110000000015</v>
      </c>
    </row>
    <row r="35" spans="2:6" ht="15.75" x14ac:dyDescent="0.25">
      <c r="B35" s="1" t="s">
        <v>210</v>
      </c>
      <c r="C35" s="178"/>
      <c r="D35" s="95">
        <v>5626451.6100000003</v>
      </c>
      <c r="E35" s="95">
        <v>4926451.6100000003</v>
      </c>
      <c r="F35" s="95">
        <f t="shared" si="0"/>
        <v>700000</v>
      </c>
    </row>
    <row r="36" spans="2:6" ht="15.75" x14ac:dyDescent="0.25">
      <c r="B36" s="1" t="s">
        <v>248</v>
      </c>
      <c r="C36" s="178" t="s">
        <v>9</v>
      </c>
      <c r="D36" s="95">
        <v>3681376.56</v>
      </c>
      <c r="E36" s="95">
        <v>3214647.53</v>
      </c>
      <c r="F36" s="95">
        <f t="shared" si="0"/>
        <v>466729.03000000026</v>
      </c>
    </row>
    <row r="37" spans="2:6" ht="15.75" x14ac:dyDescent="0.25">
      <c r="B37" s="1" t="s">
        <v>250</v>
      </c>
      <c r="C37" s="178"/>
      <c r="D37" s="95">
        <v>6960000</v>
      </c>
      <c r="E37" s="95">
        <v>6090000</v>
      </c>
      <c r="F37" s="95">
        <f>D37-E37</f>
        <v>870000</v>
      </c>
    </row>
    <row r="38" spans="2:6" ht="15.75" x14ac:dyDescent="0.25">
      <c r="B38" s="1" t="s">
        <v>553</v>
      </c>
      <c r="C38" s="178"/>
      <c r="D38" s="95">
        <v>130000</v>
      </c>
      <c r="E38" s="95">
        <v>130000</v>
      </c>
      <c r="F38" s="95">
        <f>D38-E38</f>
        <v>0</v>
      </c>
    </row>
    <row r="39" spans="2:6" ht="15.75" x14ac:dyDescent="0.25">
      <c r="B39" s="1" t="s">
        <v>249</v>
      </c>
      <c r="C39" s="178"/>
      <c r="D39" s="95">
        <v>494420</v>
      </c>
      <c r="E39" s="95">
        <v>250750</v>
      </c>
      <c r="F39" s="95">
        <f t="shared" si="0"/>
        <v>243670</v>
      </c>
    </row>
    <row r="40" spans="2:6" ht="15.75" x14ac:dyDescent="0.25">
      <c r="B40" s="1" t="s">
        <v>554</v>
      </c>
      <c r="C40" s="178"/>
      <c r="D40" s="95">
        <v>74245.600000000006</v>
      </c>
      <c r="E40" s="95">
        <v>30758.400000000001</v>
      </c>
      <c r="F40" s="95">
        <f>D40-E40</f>
        <v>43487.200000000004</v>
      </c>
    </row>
    <row r="41" spans="2:6" ht="15.75" x14ac:dyDescent="0.25">
      <c r="B41" s="1" t="s">
        <v>73</v>
      </c>
      <c r="C41" s="178" t="s">
        <v>9</v>
      </c>
      <c r="D41" s="95">
        <v>6252832.2300000004</v>
      </c>
      <c r="E41" s="95">
        <v>5471228.2000000002</v>
      </c>
      <c r="F41" s="95">
        <f t="shared" si="0"/>
        <v>781604.03000000026</v>
      </c>
    </row>
    <row r="42" spans="2:6" ht="15.75" x14ac:dyDescent="0.25">
      <c r="B42" s="1" t="s">
        <v>75</v>
      </c>
      <c r="C42" s="178" t="s">
        <v>9</v>
      </c>
      <c r="D42" s="95">
        <v>27652347.23</v>
      </c>
      <c r="E42" s="95">
        <v>24195803.82</v>
      </c>
      <c r="F42" s="95">
        <f t="shared" si="0"/>
        <v>3456543.41</v>
      </c>
    </row>
    <row r="43" spans="2:6" ht="15.75" x14ac:dyDescent="0.25">
      <c r="B43" s="1" t="s">
        <v>74</v>
      </c>
      <c r="C43" s="178" t="s">
        <v>9</v>
      </c>
      <c r="D43" s="95">
        <v>3564890</v>
      </c>
      <c r="E43" s="95">
        <v>1845195</v>
      </c>
      <c r="F43" s="95">
        <f>D43-E43</f>
        <v>1719695</v>
      </c>
    </row>
    <row r="44" spans="2:6" ht="15.75" x14ac:dyDescent="0.25">
      <c r="B44" s="1" t="s">
        <v>76</v>
      </c>
      <c r="C44" s="178" t="s">
        <v>9</v>
      </c>
      <c r="D44" s="95">
        <v>5237519.6500000004</v>
      </c>
      <c r="E44" s="95">
        <v>4678084.18</v>
      </c>
      <c r="F44" s="95">
        <f>D44-E44</f>
        <v>559435.47000000067</v>
      </c>
    </row>
    <row r="45" spans="2:6" ht="15.75" hidden="1" x14ac:dyDescent="0.25">
      <c r="B45" s="1" t="s">
        <v>405</v>
      </c>
      <c r="C45" s="178"/>
      <c r="D45" s="95">
        <v>0</v>
      </c>
      <c r="E45" s="95">
        <v>0</v>
      </c>
      <c r="F45" s="95">
        <f>D45-E45</f>
        <v>0</v>
      </c>
    </row>
    <row r="46" spans="2:6" ht="15.75" x14ac:dyDescent="0.25">
      <c r="B46" s="1" t="s">
        <v>251</v>
      </c>
      <c r="C46" s="178" t="s">
        <v>9</v>
      </c>
      <c r="D46" s="95">
        <v>35000</v>
      </c>
      <c r="E46" s="95">
        <v>30000</v>
      </c>
      <c r="F46" s="95">
        <f>D46-E46</f>
        <v>5000</v>
      </c>
    </row>
    <row r="47" spans="2:6" ht="15.75" x14ac:dyDescent="0.25">
      <c r="B47" s="1" t="s">
        <v>77</v>
      </c>
      <c r="C47" s="178" t="s">
        <v>9</v>
      </c>
      <c r="D47" s="95">
        <v>2294178.91</v>
      </c>
      <c r="E47" s="95">
        <v>2011691.58</v>
      </c>
      <c r="F47" s="95">
        <f t="shared" si="0"/>
        <v>282487.33000000007</v>
      </c>
    </row>
    <row r="48" spans="2:6" ht="15.75" x14ac:dyDescent="0.25">
      <c r="B48" s="1" t="s">
        <v>107</v>
      </c>
      <c r="C48" s="178" t="s">
        <v>9</v>
      </c>
      <c r="D48" s="95">
        <v>8537876.3200000003</v>
      </c>
      <c r="E48" s="95">
        <v>7473506.6500000004</v>
      </c>
      <c r="F48" s="95">
        <f>D48-E48</f>
        <v>1064369.67</v>
      </c>
    </row>
    <row r="49" spans="2:6" ht="15.75" x14ac:dyDescent="0.25">
      <c r="C49" s="179" t="s">
        <v>828</v>
      </c>
      <c r="D49" s="95"/>
      <c r="E49" s="95"/>
      <c r="F49" s="95"/>
    </row>
    <row r="50" spans="2:6" ht="15.75" x14ac:dyDescent="0.25">
      <c r="B50" s="10" t="s">
        <v>108</v>
      </c>
      <c r="C50" s="178"/>
      <c r="D50" s="119">
        <f>SUM(D29:D48)</f>
        <v>137399675.24000001</v>
      </c>
      <c r="E50" s="119">
        <f>SUM(E29:E48)</f>
        <v>118939530.74000002</v>
      </c>
      <c r="F50" s="119">
        <f>SUM(F29:F48)</f>
        <v>18460144.5</v>
      </c>
    </row>
    <row r="51" spans="2:6" ht="15.75" x14ac:dyDescent="0.25">
      <c r="C51" s="178" t="s">
        <v>9</v>
      </c>
      <c r="D51" s="75"/>
      <c r="E51" s="95"/>
      <c r="F51" s="95"/>
    </row>
    <row r="52" spans="2:6" ht="15.75" x14ac:dyDescent="0.25">
      <c r="C52" s="178" t="s">
        <v>9</v>
      </c>
      <c r="D52" s="75"/>
      <c r="E52" s="95"/>
      <c r="F52" s="95"/>
    </row>
    <row r="53" spans="2:6" ht="15.75" x14ac:dyDescent="0.25">
      <c r="B53" s="10" t="s">
        <v>325</v>
      </c>
      <c r="C53" s="178">
        <v>16</v>
      </c>
      <c r="D53" s="95"/>
      <c r="E53" s="95"/>
      <c r="F53" s="95"/>
    </row>
    <row r="54" spans="2:6" ht="15.75" x14ac:dyDescent="0.25">
      <c r="B54" s="1" t="s">
        <v>252</v>
      </c>
      <c r="C54" s="178" t="s">
        <v>9</v>
      </c>
      <c r="D54" s="75">
        <v>1400821.55</v>
      </c>
      <c r="E54" s="95">
        <v>1256546.44</v>
      </c>
      <c r="F54" s="95">
        <f>D54-E54</f>
        <v>144275.1100000001</v>
      </c>
    </row>
    <row r="55" spans="2:6" ht="15.75" x14ac:dyDescent="0.25">
      <c r="B55" s="1" t="s">
        <v>109</v>
      </c>
      <c r="C55" s="178" t="s">
        <v>9</v>
      </c>
      <c r="D55" s="75">
        <v>1591640.52</v>
      </c>
      <c r="E55" s="95">
        <v>1416387.86</v>
      </c>
      <c r="F55" s="95">
        <f t="shared" ref="F55:F78" si="1">D55-E55</f>
        <v>175252.65999999992</v>
      </c>
    </row>
    <row r="56" spans="2:6" ht="15.75" x14ac:dyDescent="0.25">
      <c r="B56" s="1" t="s">
        <v>110</v>
      </c>
      <c r="C56" s="178" t="s">
        <v>9</v>
      </c>
      <c r="D56" s="2">
        <v>2954717.74</v>
      </c>
      <c r="E56" s="95">
        <v>2632252.33</v>
      </c>
      <c r="F56" s="95">
        <f t="shared" si="1"/>
        <v>322465.41000000015</v>
      </c>
    </row>
    <row r="57" spans="2:6" ht="15.75" x14ac:dyDescent="0.25">
      <c r="B57" s="1" t="s">
        <v>78</v>
      </c>
      <c r="C57" s="178" t="s">
        <v>9</v>
      </c>
      <c r="D57" s="75">
        <v>68932.47</v>
      </c>
      <c r="E57" s="95">
        <v>60059.34</v>
      </c>
      <c r="F57" s="95">
        <f t="shared" si="1"/>
        <v>8873.1300000000047</v>
      </c>
    </row>
    <row r="58" spans="2:6" ht="15.75" x14ac:dyDescent="0.25">
      <c r="B58" s="1" t="s">
        <v>79</v>
      </c>
      <c r="C58" s="178" t="s">
        <v>9</v>
      </c>
      <c r="D58" s="75">
        <v>107675.98</v>
      </c>
      <c r="E58" s="95">
        <v>78100.02</v>
      </c>
      <c r="F58" s="95">
        <f t="shared" si="1"/>
        <v>29575.959999999992</v>
      </c>
    </row>
    <row r="59" spans="2:6" ht="15.75" x14ac:dyDescent="0.25">
      <c r="B59" s="1" t="s">
        <v>253</v>
      </c>
      <c r="C59" s="178" t="s">
        <v>9</v>
      </c>
      <c r="D59" s="75">
        <v>29464.32</v>
      </c>
      <c r="E59" s="95">
        <v>33000.03</v>
      </c>
      <c r="F59" s="95">
        <f t="shared" si="1"/>
        <v>-3535.7099999999991</v>
      </c>
    </row>
    <row r="60" spans="2:6" ht="15.75" hidden="1" x14ac:dyDescent="0.25">
      <c r="B60" s="1" t="s">
        <v>350</v>
      </c>
      <c r="C60" s="178"/>
      <c r="D60" s="75">
        <v>0</v>
      </c>
      <c r="E60" s="95">
        <v>0</v>
      </c>
      <c r="F60" s="95">
        <f t="shared" si="1"/>
        <v>0</v>
      </c>
    </row>
    <row r="61" spans="2:6" ht="15.75" x14ac:dyDescent="0.25">
      <c r="B61" s="1" t="s">
        <v>254</v>
      </c>
      <c r="C61" s="178" t="s">
        <v>9</v>
      </c>
      <c r="D61" s="75">
        <v>24753.95</v>
      </c>
      <c r="E61" s="95">
        <v>10965.74</v>
      </c>
      <c r="F61" s="95">
        <f t="shared" si="1"/>
        <v>13788.210000000001</v>
      </c>
    </row>
    <row r="62" spans="2:6" ht="15.75" x14ac:dyDescent="0.25">
      <c r="B62" s="1" t="s">
        <v>255</v>
      </c>
      <c r="C62" s="178"/>
      <c r="D62" s="75">
        <v>321586.75</v>
      </c>
      <c r="E62" s="95">
        <v>312466.75</v>
      </c>
      <c r="F62" s="95">
        <f t="shared" si="1"/>
        <v>9120</v>
      </c>
    </row>
    <row r="63" spans="2:6" ht="15.75" x14ac:dyDescent="0.25">
      <c r="B63" s="1" t="s">
        <v>111</v>
      </c>
      <c r="C63" s="178"/>
      <c r="D63" s="75">
        <v>28524</v>
      </c>
      <c r="E63" s="95">
        <v>28274</v>
      </c>
      <c r="F63" s="95">
        <f t="shared" si="1"/>
        <v>250</v>
      </c>
    </row>
    <row r="64" spans="2:6" ht="15.75" x14ac:dyDescent="0.25">
      <c r="B64" s="1" t="s">
        <v>80</v>
      </c>
      <c r="C64" s="178"/>
      <c r="D64" s="75">
        <v>1584</v>
      </c>
      <c r="E64" s="95">
        <v>906</v>
      </c>
      <c r="F64" s="95">
        <f t="shared" si="1"/>
        <v>678</v>
      </c>
    </row>
    <row r="65" spans="2:6" x14ac:dyDescent="0.2">
      <c r="B65" s="1" t="s">
        <v>371</v>
      </c>
      <c r="D65" s="2">
        <v>1739135.92</v>
      </c>
      <c r="E65" s="2">
        <v>1647192.68</v>
      </c>
      <c r="F65" s="2">
        <f t="shared" si="1"/>
        <v>91943.239999999991</v>
      </c>
    </row>
    <row r="66" spans="2:6" x14ac:dyDescent="0.2">
      <c r="B66" s="1" t="s">
        <v>403</v>
      </c>
      <c r="D66" s="2">
        <v>158200</v>
      </c>
      <c r="E66" s="2">
        <v>158200</v>
      </c>
      <c r="F66" s="2">
        <f t="shared" si="1"/>
        <v>0</v>
      </c>
    </row>
    <row r="67" spans="2:6" ht="15.75" x14ac:dyDescent="0.25">
      <c r="B67" s="1" t="s">
        <v>200</v>
      </c>
      <c r="C67" s="178"/>
      <c r="D67" s="95">
        <v>390804.47999999998</v>
      </c>
      <c r="E67" s="95">
        <v>341953.92</v>
      </c>
      <c r="F67" s="95">
        <f>D67-E67</f>
        <v>48850.559999999998</v>
      </c>
    </row>
    <row r="68" spans="2:6" ht="15.75" x14ac:dyDescent="0.25">
      <c r="B68" s="1" t="s">
        <v>81</v>
      </c>
      <c r="C68" s="178" t="s">
        <v>9</v>
      </c>
      <c r="D68" s="95">
        <v>5295331.26</v>
      </c>
      <c r="E68" s="95">
        <v>4464976.59</v>
      </c>
      <c r="F68" s="95">
        <f>D68-E68</f>
        <v>830354.66999999993</v>
      </c>
    </row>
    <row r="69" spans="2:6" ht="15.75" x14ac:dyDescent="0.25">
      <c r="B69" s="1" t="s">
        <v>533</v>
      </c>
      <c r="C69" s="178"/>
      <c r="D69" s="95">
        <v>1946698.6</v>
      </c>
      <c r="E69" s="95">
        <v>489700</v>
      </c>
      <c r="F69" s="95">
        <f>D69-E69</f>
        <v>1456998.6</v>
      </c>
    </row>
    <row r="70" spans="2:6" ht="15.75" x14ac:dyDescent="0.25">
      <c r="B70" s="1" t="s">
        <v>112</v>
      </c>
      <c r="C70" s="178" t="s">
        <v>9</v>
      </c>
      <c r="D70" s="95">
        <v>2785861.52</v>
      </c>
      <c r="E70" s="95">
        <v>2588364.23</v>
      </c>
      <c r="F70" s="95">
        <f>D70-E70</f>
        <v>197497.29000000004</v>
      </c>
    </row>
    <row r="71" spans="2:6" ht="15.75" x14ac:dyDescent="0.25">
      <c r="B71" s="1" t="s">
        <v>327</v>
      </c>
      <c r="C71" s="178"/>
      <c r="D71" s="95">
        <v>899354.7</v>
      </c>
      <c r="E71" s="95">
        <v>892510.7</v>
      </c>
      <c r="F71" s="95">
        <f t="shared" si="1"/>
        <v>6844</v>
      </c>
    </row>
    <row r="72" spans="2:6" ht="15.75" hidden="1" x14ac:dyDescent="0.25">
      <c r="B72" s="1" t="s">
        <v>289</v>
      </c>
      <c r="C72" s="178"/>
      <c r="D72" s="95">
        <v>0</v>
      </c>
      <c r="E72" s="95">
        <v>0</v>
      </c>
      <c r="F72" s="95">
        <f t="shared" si="1"/>
        <v>0</v>
      </c>
    </row>
    <row r="73" spans="2:6" ht="15.75" hidden="1" x14ac:dyDescent="0.25">
      <c r="B73" s="1" t="s">
        <v>82</v>
      </c>
      <c r="C73" s="178" t="s">
        <v>9</v>
      </c>
      <c r="D73" s="95">
        <v>0</v>
      </c>
      <c r="E73" s="95">
        <v>0</v>
      </c>
      <c r="F73" s="95">
        <f t="shared" si="1"/>
        <v>0</v>
      </c>
    </row>
    <row r="74" spans="2:6" ht="15.75" x14ac:dyDescent="0.25">
      <c r="B74" s="1" t="s">
        <v>83</v>
      </c>
      <c r="C74" s="178" t="s">
        <v>9</v>
      </c>
      <c r="D74" s="95">
        <v>4450.74</v>
      </c>
      <c r="E74" s="95">
        <v>4000.74</v>
      </c>
      <c r="F74" s="95">
        <f t="shared" si="1"/>
        <v>450</v>
      </c>
    </row>
    <row r="75" spans="2:6" ht="15.75" x14ac:dyDescent="0.25">
      <c r="B75" s="1" t="s">
        <v>478</v>
      </c>
      <c r="C75" s="178"/>
      <c r="D75" s="95">
        <v>273014.24</v>
      </c>
      <c r="E75" s="95">
        <v>273014.24</v>
      </c>
      <c r="F75" s="95">
        <f>D75-E75</f>
        <v>0</v>
      </c>
    </row>
    <row r="76" spans="2:6" ht="15.75" hidden="1" x14ac:dyDescent="0.25">
      <c r="B76" s="1" t="s">
        <v>372</v>
      </c>
      <c r="C76" s="178"/>
      <c r="D76" s="95">
        <v>0</v>
      </c>
      <c r="E76" s="95">
        <v>0</v>
      </c>
      <c r="F76" s="95">
        <f t="shared" si="1"/>
        <v>0</v>
      </c>
    </row>
    <row r="77" spans="2:6" ht="15.75" x14ac:dyDescent="0.25">
      <c r="B77" s="1" t="s">
        <v>555</v>
      </c>
      <c r="C77" s="178"/>
      <c r="D77" s="2">
        <v>3874618.57</v>
      </c>
      <c r="E77" s="95">
        <v>914464.25</v>
      </c>
      <c r="F77" s="95">
        <f t="shared" si="1"/>
        <v>2960154.32</v>
      </c>
    </row>
    <row r="78" spans="2:6" x14ac:dyDescent="0.2">
      <c r="B78" s="1" t="s">
        <v>256</v>
      </c>
      <c r="C78" s="4"/>
      <c r="D78" s="2">
        <v>10118720.51</v>
      </c>
      <c r="E78" s="95">
        <v>7233233.6299999999</v>
      </c>
      <c r="F78" s="95">
        <f t="shared" si="1"/>
        <v>2885486.88</v>
      </c>
    </row>
    <row r="79" spans="2:6" ht="15.75" x14ac:dyDescent="0.25">
      <c r="B79" s="1" t="s">
        <v>84</v>
      </c>
      <c r="C79" s="346"/>
      <c r="D79" s="75">
        <v>153668490.50999999</v>
      </c>
      <c r="E79" s="95">
        <v>129435577.31</v>
      </c>
      <c r="F79" s="95">
        <f>D79-E79</f>
        <v>24232913.199999988</v>
      </c>
    </row>
    <row r="80" spans="2:6" ht="15.75" hidden="1" x14ac:dyDescent="0.25">
      <c r="B80" s="1" t="s">
        <v>370</v>
      </c>
      <c r="C80" s="178"/>
      <c r="D80" s="95">
        <v>0</v>
      </c>
      <c r="E80" s="95">
        <v>0</v>
      </c>
      <c r="F80" s="95">
        <f>D80-E80</f>
        <v>0</v>
      </c>
    </row>
    <row r="81" spans="2:6" ht="15.75" x14ac:dyDescent="0.25">
      <c r="C81" s="179" t="s">
        <v>815</v>
      </c>
      <c r="D81" s="95"/>
      <c r="E81" s="95"/>
      <c r="F81" s="95"/>
    </row>
    <row r="82" spans="2:6" ht="15.75" x14ac:dyDescent="0.25">
      <c r="B82" s="10" t="s">
        <v>113</v>
      </c>
      <c r="C82" s="178" t="s">
        <v>9</v>
      </c>
      <c r="D82" s="119">
        <f>SUM(D54:D80)</f>
        <v>187684382.32999998</v>
      </c>
      <c r="E82" s="119">
        <f>SUM(E54:E80)</f>
        <v>154272146.80000001</v>
      </c>
      <c r="F82" s="119">
        <f>SUM(F54:F80)</f>
        <v>33412235.529999986</v>
      </c>
    </row>
    <row r="83" spans="2:6" ht="15.75" x14ac:dyDescent="0.25">
      <c r="C83" s="178" t="s">
        <v>9</v>
      </c>
      <c r="D83" s="95"/>
      <c r="E83" s="95"/>
      <c r="F83" s="95"/>
    </row>
    <row r="84" spans="2:6" ht="15.75" x14ac:dyDescent="0.25">
      <c r="C84" s="178" t="s">
        <v>9</v>
      </c>
      <c r="D84" s="95"/>
      <c r="E84" s="95"/>
      <c r="F84" s="95"/>
    </row>
    <row r="85" spans="2:6" ht="15.75" x14ac:dyDescent="0.25">
      <c r="B85" s="10" t="s">
        <v>326</v>
      </c>
      <c r="C85" s="178">
        <v>17</v>
      </c>
      <c r="D85" s="95"/>
      <c r="E85" s="95"/>
      <c r="F85" s="95"/>
    </row>
    <row r="86" spans="2:6" ht="15.75" x14ac:dyDescent="0.25">
      <c r="B86" s="1" t="s">
        <v>114</v>
      </c>
      <c r="C86" s="178" t="s">
        <v>9</v>
      </c>
      <c r="D86" s="75">
        <v>1139230.53</v>
      </c>
      <c r="E86" s="95">
        <v>1032504.08</v>
      </c>
      <c r="F86" s="95">
        <f>D86-E86</f>
        <v>106726.45000000007</v>
      </c>
    </row>
    <row r="87" spans="2:6" ht="15.75" x14ac:dyDescent="0.25">
      <c r="B87" s="1" t="s">
        <v>477</v>
      </c>
      <c r="C87" s="178"/>
      <c r="D87" s="75">
        <v>11328</v>
      </c>
      <c r="E87" s="95">
        <v>11328</v>
      </c>
      <c r="F87" s="95">
        <f>D87-E87</f>
        <v>0</v>
      </c>
    </row>
    <row r="88" spans="2:6" ht="15.75" hidden="1" x14ac:dyDescent="0.25">
      <c r="B88" s="1" t="s">
        <v>85</v>
      </c>
      <c r="C88" s="178" t="s">
        <v>9</v>
      </c>
      <c r="D88" s="75">
        <v>0</v>
      </c>
      <c r="E88" s="95">
        <v>0</v>
      </c>
      <c r="F88" s="95">
        <f>D88-E88</f>
        <v>0</v>
      </c>
    </row>
    <row r="89" spans="2:6" ht="15.75" x14ac:dyDescent="0.25">
      <c r="B89" s="1" t="s">
        <v>257</v>
      </c>
      <c r="C89" s="178" t="s">
        <v>9</v>
      </c>
      <c r="D89" s="75">
        <v>167760.9</v>
      </c>
      <c r="E89" s="95">
        <v>159783.34</v>
      </c>
      <c r="F89" s="95">
        <f t="shared" ref="F89:F103" si="2">D89-E89</f>
        <v>7977.5599999999977</v>
      </c>
    </row>
    <row r="90" spans="2:6" ht="15.75" hidden="1" x14ac:dyDescent="0.25">
      <c r="B90" s="1" t="s">
        <v>556</v>
      </c>
      <c r="C90" s="178"/>
      <c r="D90" s="75">
        <v>0</v>
      </c>
      <c r="E90" s="95">
        <v>0</v>
      </c>
      <c r="F90" s="95">
        <f t="shared" si="2"/>
        <v>0</v>
      </c>
    </row>
    <row r="91" spans="2:6" ht="15.75" hidden="1" x14ac:dyDescent="0.25">
      <c r="B91" s="1" t="s">
        <v>258</v>
      </c>
      <c r="C91" s="178" t="s">
        <v>9</v>
      </c>
      <c r="D91" s="75">
        <v>0</v>
      </c>
      <c r="E91" s="95">
        <v>0</v>
      </c>
      <c r="F91" s="95">
        <f t="shared" si="2"/>
        <v>0</v>
      </c>
    </row>
    <row r="92" spans="2:6" ht="15.75" x14ac:dyDescent="0.25">
      <c r="B92" s="1" t="s">
        <v>86</v>
      </c>
      <c r="C92" s="178" t="s">
        <v>9</v>
      </c>
      <c r="D92" s="75">
        <v>5105664.37</v>
      </c>
      <c r="E92" s="95">
        <v>4475204.37</v>
      </c>
      <c r="F92" s="95">
        <f t="shared" si="2"/>
        <v>630460</v>
      </c>
    </row>
    <row r="93" spans="2:6" ht="15.75" hidden="1" x14ac:dyDescent="0.25">
      <c r="B93" s="1" t="s">
        <v>404</v>
      </c>
      <c r="C93" s="178"/>
      <c r="D93" s="75">
        <v>0</v>
      </c>
      <c r="E93" s="95">
        <v>0</v>
      </c>
      <c r="F93" s="95">
        <f t="shared" si="2"/>
        <v>0</v>
      </c>
    </row>
    <row r="94" spans="2:6" ht="15.75" x14ac:dyDescent="0.25">
      <c r="B94" s="1" t="s">
        <v>351</v>
      </c>
      <c r="C94" s="178"/>
      <c r="D94" s="75">
        <v>318999.96000000002</v>
      </c>
      <c r="E94" s="95">
        <v>318999.96000000002</v>
      </c>
      <c r="F94" s="95">
        <f t="shared" si="2"/>
        <v>0</v>
      </c>
    </row>
    <row r="95" spans="2:6" ht="15.75" x14ac:dyDescent="0.25">
      <c r="B95" s="1" t="s">
        <v>87</v>
      </c>
      <c r="C95" s="178" t="s">
        <v>9</v>
      </c>
      <c r="D95" s="75">
        <v>75682.080000000002</v>
      </c>
      <c r="E95" s="95">
        <v>62247.37</v>
      </c>
      <c r="F95" s="95">
        <f t="shared" si="2"/>
        <v>13434.71</v>
      </c>
    </row>
    <row r="96" spans="2:6" ht="15.75" x14ac:dyDescent="0.25">
      <c r="B96" s="1" t="s">
        <v>557</v>
      </c>
      <c r="C96" s="178" t="s">
        <v>9</v>
      </c>
      <c r="D96" s="75">
        <v>222707.27</v>
      </c>
      <c r="E96" s="95">
        <v>192442.21</v>
      </c>
      <c r="F96" s="95">
        <f t="shared" si="2"/>
        <v>30265.059999999998</v>
      </c>
    </row>
    <row r="97" spans="2:6" ht="15.75" x14ac:dyDescent="0.25">
      <c r="B97" s="1" t="s">
        <v>260</v>
      </c>
      <c r="C97" s="178" t="s">
        <v>9</v>
      </c>
      <c r="D97" s="75">
        <v>169732.8</v>
      </c>
      <c r="E97" s="95">
        <v>75678.22</v>
      </c>
      <c r="F97" s="95">
        <f t="shared" si="2"/>
        <v>94054.579999999987</v>
      </c>
    </row>
    <row r="98" spans="2:6" ht="15.75" x14ac:dyDescent="0.25">
      <c r="B98" s="1" t="s">
        <v>259</v>
      </c>
      <c r="C98" s="178" t="s">
        <v>9</v>
      </c>
      <c r="D98" s="75">
        <v>181971.36</v>
      </c>
      <c r="E98" s="95">
        <v>153258.56000000003</v>
      </c>
      <c r="F98" s="95">
        <f t="shared" si="2"/>
        <v>28712.799999999959</v>
      </c>
    </row>
    <row r="99" spans="2:6" ht="15.75" x14ac:dyDescent="0.25">
      <c r="B99" s="1" t="s">
        <v>261</v>
      </c>
      <c r="C99" s="178" t="s">
        <v>9</v>
      </c>
      <c r="D99" s="2">
        <v>820474.68</v>
      </c>
      <c r="E99" s="95">
        <v>643443.54</v>
      </c>
      <c r="F99" s="95">
        <f t="shared" si="2"/>
        <v>177031.14</v>
      </c>
    </row>
    <row r="100" spans="2:6" ht="15.75" x14ac:dyDescent="0.25">
      <c r="B100" s="1" t="s">
        <v>262</v>
      </c>
      <c r="C100" s="178" t="s">
        <v>9</v>
      </c>
      <c r="D100" s="75">
        <v>4226030.29</v>
      </c>
      <c r="E100" s="95">
        <v>3701518.78</v>
      </c>
      <c r="F100" s="95">
        <f t="shared" si="2"/>
        <v>524511.51000000024</v>
      </c>
    </row>
    <row r="101" spans="2:6" ht="15.75" x14ac:dyDescent="0.25">
      <c r="B101" s="1" t="s">
        <v>115</v>
      </c>
      <c r="C101" s="178" t="s">
        <v>9</v>
      </c>
      <c r="D101" s="75">
        <v>2128771.5</v>
      </c>
      <c r="E101" s="95">
        <v>1961518.64</v>
      </c>
      <c r="F101" s="95">
        <f t="shared" si="2"/>
        <v>167252.8600000001</v>
      </c>
    </row>
    <row r="102" spans="2:6" ht="15.75" x14ac:dyDescent="0.25">
      <c r="B102" s="1" t="s">
        <v>386</v>
      </c>
      <c r="C102" s="178"/>
      <c r="D102" s="75">
        <v>133843.6</v>
      </c>
      <c r="E102" s="95">
        <v>117113.15</v>
      </c>
      <c r="F102" s="95">
        <f t="shared" si="2"/>
        <v>16730.450000000012</v>
      </c>
    </row>
    <row r="103" spans="2:6" ht="15.75" x14ac:dyDescent="0.25">
      <c r="B103" s="1" t="s">
        <v>263</v>
      </c>
      <c r="C103" s="178" t="s">
        <v>9</v>
      </c>
      <c r="D103" s="75">
        <v>257183.15</v>
      </c>
      <c r="E103" s="95">
        <v>238512.37</v>
      </c>
      <c r="F103" s="95">
        <f t="shared" si="2"/>
        <v>18670.78</v>
      </c>
    </row>
    <row r="104" spans="2:6" ht="15.75" x14ac:dyDescent="0.25">
      <c r="C104" s="179" t="s">
        <v>815</v>
      </c>
      <c r="D104" s="95"/>
      <c r="E104" s="95"/>
      <c r="F104" s="95"/>
    </row>
    <row r="105" spans="2:6" ht="15.75" x14ac:dyDescent="0.25">
      <c r="B105" s="10" t="s">
        <v>116</v>
      </c>
      <c r="C105" s="178" t="s">
        <v>9</v>
      </c>
      <c r="D105" s="119">
        <f>SUM(D86:D103)</f>
        <v>14959380.489999998</v>
      </c>
      <c r="E105" s="119">
        <f>SUM(E86:E103)</f>
        <v>13143552.59</v>
      </c>
      <c r="F105" s="119">
        <f>SUM(F86:F103)</f>
        <v>1815827.9000000001</v>
      </c>
    </row>
    <row r="106" spans="2:6" ht="15.75" x14ac:dyDescent="0.25">
      <c r="C106" s="178" t="s">
        <v>9</v>
      </c>
      <c r="D106" s="95"/>
      <c r="E106" s="18"/>
      <c r="F106" s="95"/>
    </row>
    <row r="107" spans="2:6" ht="15.75" x14ac:dyDescent="0.25">
      <c r="C107" s="178" t="s">
        <v>9</v>
      </c>
      <c r="D107" s="75"/>
      <c r="E107" s="95"/>
      <c r="F107" s="95"/>
    </row>
    <row r="108" spans="2:6" ht="15.75" x14ac:dyDescent="0.25">
      <c r="B108" s="10" t="s">
        <v>243</v>
      </c>
      <c r="C108" s="178">
        <v>18</v>
      </c>
      <c r="D108" s="95"/>
      <c r="E108" s="95"/>
      <c r="F108" s="95"/>
    </row>
    <row r="109" spans="2:6" ht="15.75" x14ac:dyDescent="0.25">
      <c r="B109" s="1" t="s">
        <v>88</v>
      </c>
      <c r="C109" s="178" t="s">
        <v>9</v>
      </c>
      <c r="D109" s="237">
        <v>1538739.72</v>
      </c>
      <c r="E109" s="2">
        <v>246895.79</v>
      </c>
      <c r="F109" s="95">
        <f t="shared" ref="F109:F117" si="3">D109-E109</f>
        <v>1291843.93</v>
      </c>
    </row>
    <row r="110" spans="2:6" ht="15.75" x14ac:dyDescent="0.25">
      <c r="B110" s="1" t="s">
        <v>363</v>
      </c>
      <c r="C110" s="178"/>
      <c r="D110" s="237">
        <v>163937.4</v>
      </c>
      <c r="E110" s="2">
        <v>163937.4</v>
      </c>
      <c r="F110" s="95">
        <f t="shared" si="3"/>
        <v>0</v>
      </c>
    </row>
    <row r="111" spans="2:6" ht="15.75" x14ac:dyDescent="0.25">
      <c r="B111" s="1" t="s">
        <v>352</v>
      </c>
      <c r="C111" s="178"/>
      <c r="D111" s="75">
        <v>2500000000</v>
      </c>
      <c r="E111" s="95">
        <v>2500000000</v>
      </c>
      <c r="F111" s="95">
        <f t="shared" si="3"/>
        <v>0</v>
      </c>
    </row>
    <row r="112" spans="2:6" ht="15.75" x14ac:dyDescent="0.25">
      <c r="B112" s="1" t="s">
        <v>143</v>
      </c>
      <c r="C112" s="178"/>
      <c r="D112" s="75">
        <v>34533078.869999997</v>
      </c>
      <c r="E112" s="95">
        <v>29871652.140000001</v>
      </c>
      <c r="F112" s="95">
        <f>D112-E112</f>
        <v>4661426.7299999967</v>
      </c>
    </row>
    <row r="113" spans="2:6" ht="15.75" x14ac:dyDescent="0.25">
      <c r="B113" s="1" t="s">
        <v>558</v>
      </c>
      <c r="C113" s="178"/>
      <c r="D113" s="75">
        <v>3186953.11</v>
      </c>
      <c r="E113" s="95">
        <v>2475953.11</v>
      </c>
      <c r="F113" s="95">
        <f t="shared" si="3"/>
        <v>711000</v>
      </c>
    </row>
    <row r="114" spans="2:6" ht="15.75" x14ac:dyDescent="0.25">
      <c r="B114" s="1" t="s">
        <v>344</v>
      </c>
      <c r="C114" s="178"/>
      <c r="D114" s="75">
        <v>625812.64</v>
      </c>
      <c r="E114" s="95">
        <v>521688.5</v>
      </c>
      <c r="F114" s="95">
        <f t="shared" si="3"/>
        <v>104124.14000000001</v>
      </c>
    </row>
    <row r="115" spans="2:6" ht="15.75" x14ac:dyDescent="0.25">
      <c r="B115" s="1" t="s">
        <v>811</v>
      </c>
      <c r="C115" s="178"/>
      <c r="D115" s="75">
        <v>167421.35</v>
      </c>
      <c r="E115" s="95">
        <v>167421.35</v>
      </c>
      <c r="F115" s="95">
        <f t="shared" si="3"/>
        <v>0</v>
      </c>
    </row>
    <row r="116" spans="2:6" ht="15.75" x14ac:dyDescent="0.25">
      <c r="B116" s="1" t="s">
        <v>353</v>
      </c>
      <c r="C116" s="178"/>
      <c r="D116" s="75">
        <v>180000000</v>
      </c>
      <c r="E116" s="95">
        <v>180000000</v>
      </c>
      <c r="F116" s="95">
        <f t="shared" si="3"/>
        <v>0</v>
      </c>
    </row>
    <row r="117" spans="2:6" ht="15.75" hidden="1" x14ac:dyDescent="0.25">
      <c r="B117" s="1" t="s">
        <v>354</v>
      </c>
      <c r="C117" s="178"/>
      <c r="D117" s="95">
        <v>0</v>
      </c>
      <c r="E117" s="95">
        <v>0</v>
      </c>
      <c r="F117" s="95">
        <f t="shared" si="3"/>
        <v>0</v>
      </c>
    </row>
    <row r="118" spans="2:6" ht="15.75" x14ac:dyDescent="0.25">
      <c r="C118" s="179" t="s">
        <v>815</v>
      </c>
      <c r="D118" s="95"/>
      <c r="E118" s="95"/>
      <c r="F118" s="95"/>
    </row>
    <row r="119" spans="2:6" ht="15.75" x14ac:dyDescent="0.25">
      <c r="B119" s="10" t="s">
        <v>117</v>
      </c>
      <c r="C119" s="178" t="s">
        <v>9</v>
      </c>
      <c r="D119" s="119">
        <f>SUM(D109:D118)</f>
        <v>2720215943.0899997</v>
      </c>
      <c r="E119" s="119">
        <f>SUM(E109:E118)</f>
        <v>2713447548.29</v>
      </c>
      <c r="F119" s="119">
        <f>SUM(F109:F118)</f>
        <v>6768394.7999999961</v>
      </c>
    </row>
    <row r="120" spans="2:6" ht="15.75" x14ac:dyDescent="0.25">
      <c r="C120" s="178" t="s">
        <v>9</v>
      </c>
      <c r="D120" s="95"/>
      <c r="E120" s="95"/>
      <c r="F120" s="95"/>
    </row>
    <row r="121" spans="2:6" ht="15.75" x14ac:dyDescent="0.25">
      <c r="C121" s="178" t="s">
        <v>9</v>
      </c>
      <c r="D121" s="18"/>
      <c r="E121" s="95"/>
      <c r="F121" s="95"/>
    </row>
    <row r="122" spans="2:6" ht="15.75" x14ac:dyDescent="0.25">
      <c r="B122" s="10" t="s">
        <v>324</v>
      </c>
      <c r="C122" s="178">
        <v>19</v>
      </c>
      <c r="D122" s="95"/>
      <c r="E122" s="95"/>
      <c r="F122" s="95"/>
    </row>
    <row r="123" spans="2:6" ht="15.75" x14ac:dyDescent="0.25">
      <c r="B123" s="1" t="s">
        <v>323</v>
      </c>
      <c r="C123" s="178" t="s">
        <v>9</v>
      </c>
      <c r="D123" s="75">
        <v>-24658975.149999999</v>
      </c>
      <c r="E123" s="95">
        <v>-24658975.149999999</v>
      </c>
      <c r="F123" s="95">
        <f>D123-E123</f>
        <v>0</v>
      </c>
    </row>
    <row r="124" spans="2:6" s="70" customFormat="1" ht="15.75" x14ac:dyDescent="0.25">
      <c r="B124" s="70" t="s">
        <v>323</v>
      </c>
      <c r="C124" s="178" t="s">
        <v>9</v>
      </c>
      <c r="D124" s="95">
        <v>29884623.02</v>
      </c>
      <c r="E124" s="95">
        <v>29865098.030000001</v>
      </c>
      <c r="F124" s="95">
        <f>D124-E124</f>
        <v>19524.989999998361</v>
      </c>
    </row>
    <row r="125" spans="2:6" ht="15.75" x14ac:dyDescent="0.25">
      <c r="C125" s="179" t="s">
        <v>815</v>
      </c>
      <c r="D125" s="95"/>
      <c r="E125" s="95"/>
      <c r="F125" s="95"/>
    </row>
    <row r="126" spans="2:6" ht="36.75" customHeight="1" x14ac:dyDescent="0.25">
      <c r="B126" s="180" t="s">
        <v>332</v>
      </c>
      <c r="C126" s="178" t="s">
        <v>9</v>
      </c>
      <c r="D126" s="119">
        <f>SUM(D123:D124)</f>
        <v>5225647.870000001</v>
      </c>
      <c r="E126" s="119">
        <f>SUM(E123:E124)</f>
        <v>5206122.8800000027</v>
      </c>
      <c r="F126" s="119">
        <f>SUM(F123:F124)</f>
        <v>19524.989999998361</v>
      </c>
    </row>
    <row r="127" spans="2:6" ht="15.75" x14ac:dyDescent="0.25">
      <c r="C127" s="178" t="s">
        <v>9</v>
      </c>
      <c r="D127" s="95"/>
      <c r="E127" s="95"/>
      <c r="F127" s="95"/>
    </row>
    <row r="128" spans="2:6" ht="15.75" x14ac:dyDescent="0.25">
      <c r="C128" s="178"/>
      <c r="D128" s="75"/>
      <c r="E128" s="95"/>
      <c r="F128" s="95"/>
    </row>
    <row r="129" spans="3:6" ht="15.75" x14ac:dyDescent="0.25">
      <c r="C129" s="178"/>
      <c r="E129" s="95"/>
      <c r="F129" s="95"/>
    </row>
    <row r="130" spans="3:6" ht="15.75" x14ac:dyDescent="0.25">
      <c r="C130" s="178"/>
      <c r="D130" s="95"/>
      <c r="E130" s="95"/>
      <c r="F130" s="95"/>
    </row>
    <row r="131" spans="3:6" ht="15.75" x14ac:dyDescent="0.25">
      <c r="C131" s="178"/>
      <c r="D131" s="95"/>
      <c r="E131" s="95"/>
      <c r="F131" s="95"/>
    </row>
    <row r="132" spans="3:6" ht="15.75" x14ac:dyDescent="0.25">
      <c r="C132" s="178"/>
      <c r="D132" s="95"/>
      <c r="E132" s="95"/>
      <c r="F132" s="95"/>
    </row>
    <row r="133" spans="3:6" ht="15.75" x14ac:dyDescent="0.25">
      <c r="C133" s="178"/>
      <c r="D133" s="95"/>
      <c r="E133" s="95"/>
      <c r="F133" s="95"/>
    </row>
    <row r="134" spans="3:6" ht="15.75" x14ac:dyDescent="0.25">
      <c r="C134" s="178"/>
      <c r="D134" s="95"/>
      <c r="E134" s="95"/>
      <c r="F134" s="95"/>
    </row>
    <row r="135" spans="3:6" ht="15.75" x14ac:dyDescent="0.25">
      <c r="C135" s="178"/>
      <c r="D135" s="95"/>
      <c r="E135" s="95"/>
      <c r="F135" s="95"/>
    </row>
    <row r="136" spans="3:6" ht="15.75" x14ac:dyDescent="0.25">
      <c r="C136" s="178"/>
      <c r="D136" s="95"/>
      <c r="E136" s="95"/>
      <c r="F136" s="95"/>
    </row>
    <row r="137" spans="3:6" ht="15.75" x14ac:dyDescent="0.25">
      <c r="C137" s="178"/>
      <c r="D137" s="95"/>
      <c r="E137" s="95"/>
      <c r="F137" s="95"/>
    </row>
    <row r="138" spans="3:6" ht="15.75" x14ac:dyDescent="0.25">
      <c r="C138" s="178"/>
      <c r="D138" s="95"/>
      <c r="E138" s="95"/>
      <c r="F138" s="95"/>
    </row>
    <row r="139" spans="3:6" ht="15.75" x14ac:dyDescent="0.25">
      <c r="C139" s="178"/>
      <c r="D139" s="95"/>
      <c r="E139" s="95"/>
      <c r="F139" s="95"/>
    </row>
    <row r="140" spans="3:6" ht="15.75" x14ac:dyDescent="0.25">
      <c r="C140" s="178"/>
      <c r="D140" s="95"/>
      <c r="E140" s="95"/>
      <c r="F140" s="95"/>
    </row>
    <row r="141" spans="3:6" ht="15.75" x14ac:dyDescent="0.25">
      <c r="C141" s="178"/>
      <c r="D141" s="95"/>
      <c r="E141" s="95"/>
      <c r="F141" s="95"/>
    </row>
    <row r="142" spans="3:6" ht="15.75" x14ac:dyDescent="0.25">
      <c r="C142" s="178"/>
      <c r="D142" s="95"/>
      <c r="E142" s="95"/>
      <c r="F142" s="95"/>
    </row>
    <row r="143" spans="3:6" ht="15.75" x14ac:dyDescent="0.25">
      <c r="C143" s="178"/>
      <c r="D143" s="95"/>
      <c r="E143" s="95"/>
      <c r="F143" s="95"/>
    </row>
    <row r="144" spans="3:6" ht="15.75" x14ac:dyDescent="0.25">
      <c r="C144" s="178"/>
      <c r="D144" s="95"/>
      <c r="E144" s="95"/>
      <c r="F144" s="95"/>
    </row>
    <row r="145" spans="3:6" ht="15.75" x14ac:dyDescent="0.25">
      <c r="C145" s="178"/>
      <c r="D145" s="95"/>
      <c r="E145" s="95"/>
      <c r="F145" s="95"/>
    </row>
    <row r="146" spans="3:6" ht="15.75" x14ac:dyDescent="0.25">
      <c r="C146" s="178"/>
      <c r="D146" s="95"/>
      <c r="E146" s="95"/>
      <c r="F146" s="95"/>
    </row>
    <row r="147" spans="3:6" ht="15.75" x14ac:dyDescent="0.25">
      <c r="C147" s="178"/>
      <c r="D147" s="95"/>
      <c r="E147" s="95"/>
      <c r="F147" s="95"/>
    </row>
    <row r="148" spans="3:6" ht="15.75" x14ac:dyDescent="0.25">
      <c r="C148" s="178"/>
      <c r="D148" s="95"/>
      <c r="E148" s="95"/>
      <c r="F148" s="95"/>
    </row>
    <row r="149" spans="3:6" ht="15.75" x14ac:dyDescent="0.25">
      <c r="C149" s="178"/>
      <c r="D149" s="95"/>
      <c r="E149" s="95"/>
      <c r="F149" s="95"/>
    </row>
    <row r="150" spans="3:6" ht="15.75" x14ac:dyDescent="0.25">
      <c r="C150" s="178"/>
      <c r="D150" s="95"/>
      <c r="E150" s="95"/>
      <c r="F150" s="95"/>
    </row>
    <row r="151" spans="3:6" ht="15.75" x14ac:dyDescent="0.25">
      <c r="C151" s="178"/>
      <c r="D151" s="95"/>
      <c r="E151" s="95"/>
      <c r="F151" s="95"/>
    </row>
    <row r="152" spans="3:6" ht="15.75" x14ac:dyDescent="0.25">
      <c r="C152" s="178"/>
      <c r="D152" s="95"/>
      <c r="E152" s="95"/>
      <c r="F152" s="95"/>
    </row>
    <row r="153" spans="3:6" ht="15.75" x14ac:dyDescent="0.25">
      <c r="C153" s="178"/>
      <c r="D153" s="95"/>
      <c r="E153" s="95"/>
      <c r="F153" s="95"/>
    </row>
    <row r="154" spans="3:6" ht="15.75" x14ac:dyDescent="0.25">
      <c r="C154" s="178"/>
      <c r="D154" s="95"/>
      <c r="E154" s="95"/>
      <c r="F154" s="95"/>
    </row>
    <row r="155" spans="3:6" ht="15.75" x14ac:dyDescent="0.25">
      <c r="C155" s="178"/>
      <c r="D155" s="95"/>
      <c r="E155" s="95"/>
      <c r="F155" s="95"/>
    </row>
    <row r="156" spans="3:6" ht="15.75" x14ac:dyDescent="0.25">
      <c r="C156" s="178"/>
      <c r="D156" s="95"/>
      <c r="E156" s="95"/>
      <c r="F156" s="95"/>
    </row>
    <row r="157" spans="3:6" ht="15.75" x14ac:dyDescent="0.25">
      <c r="C157" s="178"/>
      <c r="D157" s="95"/>
      <c r="E157" s="95"/>
      <c r="F157" s="95"/>
    </row>
    <row r="158" spans="3:6" ht="15.75" x14ac:dyDescent="0.25">
      <c r="C158" s="178"/>
      <c r="D158" s="95"/>
      <c r="E158" s="95"/>
      <c r="F158" s="95"/>
    </row>
    <row r="159" spans="3:6" ht="15.75" x14ac:dyDescent="0.25">
      <c r="C159" s="178"/>
      <c r="D159" s="95"/>
      <c r="E159" s="95"/>
      <c r="F159" s="95"/>
    </row>
    <row r="160" spans="3:6" ht="15.75" x14ac:dyDescent="0.25">
      <c r="C160" s="178"/>
      <c r="D160" s="95"/>
      <c r="E160" s="95"/>
      <c r="F160" s="95"/>
    </row>
    <row r="161" spans="3:11" ht="15.75" x14ac:dyDescent="0.25">
      <c r="C161" s="178"/>
      <c r="D161" s="95"/>
      <c r="E161" s="95"/>
      <c r="F161" s="95"/>
    </row>
    <row r="162" spans="3:11" ht="15.75" x14ac:dyDescent="0.25">
      <c r="C162" s="178"/>
      <c r="D162" s="95"/>
      <c r="E162" s="95"/>
      <c r="F162" s="95"/>
    </row>
    <row r="163" spans="3:11" ht="15.75" x14ac:dyDescent="0.25">
      <c r="C163" s="178"/>
      <c r="D163" s="95"/>
      <c r="E163" s="95"/>
      <c r="F163" s="95"/>
    </row>
    <row r="164" spans="3:11" ht="15.75" x14ac:dyDescent="0.25">
      <c r="C164" s="178"/>
      <c r="D164" s="95"/>
      <c r="E164" s="95"/>
      <c r="F164" s="95"/>
    </row>
    <row r="165" spans="3:11" ht="15.75" x14ac:dyDescent="0.25">
      <c r="C165" s="178"/>
      <c r="D165" s="95"/>
      <c r="E165" s="95"/>
      <c r="F165" s="95"/>
    </row>
    <row r="166" spans="3:11" ht="15.75" x14ac:dyDescent="0.25">
      <c r="C166" s="178"/>
      <c r="D166" s="95"/>
      <c r="E166" s="95"/>
      <c r="F166" s="95"/>
    </row>
    <row r="167" spans="3:11" ht="15.75" x14ac:dyDescent="0.25">
      <c r="C167" s="178"/>
      <c r="D167" s="95"/>
      <c r="E167" s="95"/>
      <c r="F167" s="95"/>
    </row>
    <row r="168" spans="3:11" ht="15.75" x14ac:dyDescent="0.25">
      <c r="C168" s="178"/>
      <c r="D168" s="95"/>
      <c r="E168" s="95"/>
      <c r="F168" s="95"/>
    </row>
    <row r="169" spans="3:11" ht="15.75" x14ac:dyDescent="0.25">
      <c r="C169" s="178"/>
      <c r="D169" s="95"/>
      <c r="E169" s="95"/>
      <c r="F169" s="95"/>
    </row>
    <row r="170" spans="3:11" ht="15.75" x14ac:dyDescent="0.25">
      <c r="C170" s="178"/>
      <c r="D170" s="95"/>
      <c r="E170" s="95"/>
      <c r="F170" s="95"/>
    </row>
    <row r="171" spans="3:11" ht="15.75" x14ac:dyDescent="0.25">
      <c r="C171" s="178"/>
      <c r="D171" s="95"/>
      <c r="E171" s="95"/>
      <c r="F171" s="95"/>
    </row>
    <row r="172" spans="3:11" ht="15.75" x14ac:dyDescent="0.25">
      <c r="C172" s="178"/>
      <c r="D172" s="95"/>
      <c r="E172" s="95"/>
      <c r="F172" s="95"/>
    </row>
    <row r="173" spans="3:11" ht="15.75" x14ac:dyDescent="0.25">
      <c r="C173" s="178"/>
      <c r="D173" s="95"/>
      <c r="E173" s="95"/>
      <c r="F173" s="95"/>
      <c r="J173" s="7"/>
    </row>
    <row r="174" spans="3:11" ht="15.75" x14ac:dyDescent="0.25">
      <c r="C174" s="178"/>
      <c r="D174" s="95"/>
      <c r="E174" s="95"/>
      <c r="F174" s="95"/>
    </row>
    <row r="175" spans="3:11" ht="15.75" x14ac:dyDescent="0.25">
      <c r="C175" s="178"/>
      <c r="D175" s="95"/>
      <c r="E175" s="95"/>
      <c r="F175" s="95"/>
      <c r="K175" s="7"/>
    </row>
    <row r="176" spans="3:11" ht="15.75" x14ac:dyDescent="0.25">
      <c r="C176" s="178"/>
      <c r="D176" s="95"/>
      <c r="E176" s="95"/>
      <c r="F176" s="95"/>
    </row>
    <row r="177" spans="3:14" ht="15.75" x14ac:dyDescent="0.25">
      <c r="C177" s="178"/>
      <c r="D177" s="95"/>
      <c r="E177" s="95"/>
      <c r="F177" s="95"/>
    </row>
    <row r="178" spans="3:14" ht="15.75" x14ac:dyDescent="0.25">
      <c r="C178" s="178"/>
      <c r="D178" s="95"/>
      <c r="E178" s="95"/>
      <c r="F178" s="95"/>
    </row>
    <row r="179" spans="3:14" ht="15.75" x14ac:dyDescent="0.25">
      <c r="C179" s="178"/>
      <c r="D179" s="95"/>
      <c r="E179" s="95"/>
      <c r="F179" s="95"/>
      <c r="J179" s="7"/>
    </row>
    <row r="180" spans="3:14" ht="15.75" x14ac:dyDescent="0.25">
      <c r="C180" s="178"/>
      <c r="D180" s="95"/>
      <c r="E180" s="95"/>
      <c r="F180" s="95"/>
    </row>
    <row r="181" spans="3:14" ht="15.75" x14ac:dyDescent="0.25">
      <c r="C181" s="178"/>
      <c r="D181" s="95"/>
      <c r="E181" s="95"/>
      <c r="F181" s="95"/>
      <c r="K181" s="7"/>
    </row>
    <row r="182" spans="3:14" ht="15.75" x14ac:dyDescent="0.25">
      <c r="C182" s="178"/>
      <c r="D182" s="95"/>
      <c r="E182" s="95"/>
      <c r="F182" s="95"/>
      <c r="K182" s="4"/>
    </row>
    <row r="183" spans="3:14" ht="15.75" x14ac:dyDescent="0.25">
      <c r="C183" s="178"/>
      <c r="D183" s="95"/>
      <c r="E183" s="95"/>
      <c r="F183" s="95"/>
    </row>
    <row r="185" spans="3:14" x14ac:dyDescent="0.2">
      <c r="M185" s="181"/>
      <c r="N185" s="181"/>
    </row>
    <row r="186" spans="3:14" x14ac:dyDescent="0.2">
      <c r="L186" s="4"/>
      <c r="M186" s="181"/>
      <c r="N186" s="181"/>
    </row>
    <row r="187" spans="3:14" ht="15.75" x14ac:dyDescent="0.25">
      <c r="L187" s="4"/>
      <c r="M187" s="9"/>
      <c r="N187" s="9"/>
    </row>
    <row r="188" spans="3:14" ht="15.75" x14ac:dyDescent="0.25">
      <c r="L188" s="4"/>
      <c r="M188" s="9"/>
      <c r="N188" s="9"/>
    </row>
    <row r="189" spans="3:14" ht="15.75" x14ac:dyDescent="0.25">
      <c r="L189" s="4"/>
      <c r="M189" s="9"/>
      <c r="N189" s="9"/>
    </row>
    <row r="190" spans="3:14" ht="15.75" x14ac:dyDescent="0.25">
      <c r="L190" s="4"/>
      <c r="M190" s="9"/>
      <c r="N190" s="9"/>
    </row>
    <row r="191" spans="3:14" x14ac:dyDescent="0.2">
      <c r="L191" s="4"/>
    </row>
    <row r="192" spans="3:14" x14ac:dyDescent="0.2">
      <c r="L192" s="4"/>
    </row>
    <row r="193" spans="12:12" x14ac:dyDescent="0.2">
      <c r="L193" s="4"/>
    </row>
    <row r="194" spans="12:12" x14ac:dyDescent="0.2">
      <c r="L194" s="4"/>
    </row>
  </sheetData>
  <pageMargins left="0.51181102362204722" right="0.11811023622047245" top="0.74803149606299213" bottom="0.51181102362204722" header="0.31496062992125984" footer="0.11811023622047245"/>
  <pageSetup scale="55" firstPageNumber="4" fitToHeight="2" orientation="portrait" useFirstPageNumber="1" horizontalDpi="4294967293" r:id="rId1"/>
  <headerFooter>
    <oddHeader>&amp;RPágina &amp;P</oddHeader>
  </headerFooter>
  <rowBreaks count="1" manualBreakCount="1">
    <brk id="83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32"/>
  <sheetViews>
    <sheetView zoomScale="90" zoomScaleNormal="90" workbookViewId="0">
      <selection activeCell="D17" sqref="A1:E17"/>
    </sheetView>
  </sheetViews>
  <sheetFormatPr baseColWidth="10" defaultColWidth="11.5703125" defaultRowHeight="24.75" customHeight="1" x14ac:dyDescent="0.2"/>
  <cols>
    <col min="1" max="1" width="3.28515625" style="1" customWidth="1"/>
    <col min="2" max="2" width="43.28515625" style="1" customWidth="1"/>
    <col min="3" max="3" width="19.140625" style="1" bestFit="1" customWidth="1"/>
    <col min="4" max="4" width="22.140625" style="1" customWidth="1"/>
    <col min="5" max="5" width="16" style="2" bestFit="1" customWidth="1"/>
    <col min="6" max="6" width="4.85546875" style="1" customWidth="1"/>
    <col min="7" max="7" width="20.85546875" style="1" customWidth="1"/>
    <col min="8" max="8" width="17.42578125" style="1" bestFit="1" customWidth="1"/>
    <col min="9" max="9" width="8.42578125" style="1" bestFit="1" customWidth="1"/>
    <col min="10" max="10" width="20.5703125" style="1" bestFit="1" customWidth="1"/>
    <col min="11" max="11" width="12.85546875" style="1" bestFit="1" customWidth="1"/>
    <col min="12" max="12" width="16.5703125" style="1" bestFit="1" customWidth="1"/>
    <col min="13" max="16384" width="11.5703125" style="1"/>
  </cols>
  <sheetData>
    <row r="3" spans="2:8" ht="24.75" customHeight="1" x14ac:dyDescent="0.25">
      <c r="B3" s="398" t="s">
        <v>228</v>
      </c>
      <c r="C3" s="398"/>
      <c r="D3" s="398"/>
      <c r="E3" s="297"/>
    </row>
    <row r="4" spans="2:8" ht="24.75" customHeight="1" x14ac:dyDescent="0.25">
      <c r="B4" s="398" t="s">
        <v>227</v>
      </c>
      <c r="C4" s="398"/>
      <c r="D4" s="398"/>
      <c r="E4" s="297"/>
    </row>
    <row r="5" spans="2:8" ht="24.75" customHeight="1" x14ac:dyDescent="0.25">
      <c r="B5" s="398" t="s">
        <v>214</v>
      </c>
      <c r="C5" s="398"/>
      <c r="D5" s="398"/>
      <c r="E5" s="297"/>
    </row>
    <row r="6" spans="2:8" ht="24.75" customHeight="1" x14ac:dyDescent="0.25">
      <c r="B6" s="399">
        <v>45169</v>
      </c>
      <c r="C6" s="399"/>
      <c r="D6" s="399"/>
      <c r="E6" s="297"/>
    </row>
    <row r="7" spans="2:8" ht="24.75" customHeight="1" thickBot="1" x14ac:dyDescent="0.3">
      <c r="B7" s="47"/>
      <c r="C7" s="47"/>
      <c r="D7" s="47"/>
      <c r="E7" s="101"/>
    </row>
    <row r="8" spans="2:8" ht="24.75" customHeight="1" thickBot="1" x14ac:dyDescent="0.3">
      <c r="B8" s="30" t="s">
        <v>240</v>
      </c>
      <c r="C8" s="48" t="s">
        <v>213</v>
      </c>
      <c r="D8" s="31" t="s">
        <v>212</v>
      </c>
    </row>
    <row r="9" spans="2:8" ht="24.75" customHeight="1" x14ac:dyDescent="0.2">
      <c r="B9" s="43" t="s">
        <v>215</v>
      </c>
      <c r="C9" s="49"/>
      <c r="D9" s="39">
        <v>200000</v>
      </c>
    </row>
    <row r="10" spans="2:8" ht="24.75" customHeight="1" x14ac:dyDescent="0.2">
      <c r="B10" s="44" t="s">
        <v>445</v>
      </c>
      <c r="C10" s="50"/>
      <c r="D10" s="40">
        <v>196260084.55000001</v>
      </c>
      <c r="G10" s="2"/>
      <c r="H10" s="6"/>
    </row>
    <row r="11" spans="2:8" ht="24.75" customHeight="1" x14ac:dyDescent="0.2">
      <c r="B11" s="44" t="s">
        <v>446</v>
      </c>
      <c r="C11" s="50"/>
      <c r="D11" s="40">
        <v>52396.44</v>
      </c>
    </row>
    <row r="12" spans="2:8" ht="24.75" customHeight="1" x14ac:dyDescent="0.2">
      <c r="B12" s="44" t="s">
        <v>387</v>
      </c>
      <c r="C12" s="51">
        <v>56.62</v>
      </c>
      <c r="D12" s="40">
        <v>14148.54</v>
      </c>
      <c r="G12" s="6"/>
    </row>
    <row r="13" spans="2:8" ht="24.75" customHeight="1" x14ac:dyDescent="0.35">
      <c r="B13" s="44" t="s">
        <v>388</v>
      </c>
      <c r="C13" s="50"/>
      <c r="D13" s="41">
        <v>786941.8</v>
      </c>
      <c r="G13" s="6"/>
    </row>
    <row r="14" spans="2:8" ht="24.75" customHeight="1" x14ac:dyDescent="0.4">
      <c r="B14" s="45" t="s">
        <v>146</v>
      </c>
      <c r="C14" s="52"/>
      <c r="D14" s="42">
        <f>SUM(D9:D13)</f>
        <v>197313571.33000001</v>
      </c>
      <c r="G14" s="2"/>
    </row>
    <row r="15" spans="2:8" ht="24.75" customHeight="1" thickBot="1" x14ac:dyDescent="0.25">
      <c r="B15" s="53"/>
      <c r="C15" s="54"/>
      <c r="D15" s="55"/>
    </row>
    <row r="16" spans="2:8" ht="24.75" customHeight="1" x14ac:dyDescent="0.2">
      <c r="D16" s="6"/>
    </row>
    <row r="17" spans="4:5" ht="24.75" customHeight="1" x14ac:dyDescent="0.25">
      <c r="D17" s="268"/>
    </row>
    <row r="18" spans="4:5" ht="24.75" customHeight="1" x14ac:dyDescent="0.2">
      <c r="D18" s="6"/>
    </row>
    <row r="31" spans="4:5" ht="24.75" customHeight="1" x14ac:dyDescent="0.2">
      <c r="E31" s="11"/>
    </row>
    <row r="32" spans="4:5" ht="24.75" customHeight="1" x14ac:dyDescent="0.2">
      <c r="E32" s="11"/>
    </row>
  </sheetData>
  <mergeCells count="4">
    <mergeCell ref="B3:D3"/>
    <mergeCell ref="B4:D4"/>
    <mergeCell ref="B5:D5"/>
    <mergeCell ref="B6:D6"/>
  </mergeCells>
  <pageMargins left="0.59055118110236227" right="0.70866141732283472" top="0.74803149606299213" bottom="0.74803149606299213" header="0.31496062992125984" footer="0.31496062992125984"/>
  <pageSetup scale="90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10"/>
  <sheetViews>
    <sheetView view="pageBreakPreview" zoomScale="90" zoomScaleNormal="90" zoomScaleSheetLayoutView="90" workbookViewId="0">
      <selection activeCell="D17" sqref="A1:E17"/>
    </sheetView>
  </sheetViews>
  <sheetFormatPr baseColWidth="10" defaultColWidth="11.5703125" defaultRowHeight="24.75" customHeight="1" x14ac:dyDescent="0.2"/>
  <cols>
    <col min="1" max="1" width="3.28515625" style="1" customWidth="1"/>
    <col min="2" max="2" width="26.7109375" style="1" customWidth="1"/>
    <col min="3" max="3" width="20.7109375" style="1" customWidth="1"/>
    <col min="4" max="4" width="19.5703125" style="1" customWidth="1"/>
    <col min="5" max="5" width="25" style="1" bestFit="1" customWidth="1"/>
    <col min="6" max="6" width="7.140625" style="1" customWidth="1"/>
    <col min="7" max="7" width="6.5703125" style="1" customWidth="1"/>
    <col min="8" max="8" width="20.5703125" style="1" bestFit="1" customWidth="1"/>
    <col min="9" max="9" width="8.42578125" style="1" bestFit="1" customWidth="1"/>
    <col min="10" max="10" width="20.5703125" style="1" bestFit="1" customWidth="1"/>
    <col min="11" max="11" width="12.85546875" style="1" bestFit="1" customWidth="1"/>
    <col min="12" max="12" width="16.5703125" style="1" bestFit="1" customWidth="1"/>
    <col min="13" max="16384" width="11.5703125" style="1"/>
  </cols>
  <sheetData>
    <row r="2" spans="2:8" ht="24.75" customHeight="1" x14ac:dyDescent="0.2">
      <c r="E2" s="5"/>
    </row>
    <row r="3" spans="2:8" ht="24.75" customHeight="1" x14ac:dyDescent="0.25">
      <c r="B3" s="398" t="s">
        <v>229</v>
      </c>
      <c r="C3" s="398"/>
      <c r="D3" s="398"/>
      <c r="E3" s="398"/>
    </row>
    <row r="4" spans="2:8" ht="24.75" customHeight="1" x14ac:dyDescent="0.25">
      <c r="B4" s="398" t="s">
        <v>227</v>
      </c>
      <c r="C4" s="398"/>
      <c r="D4" s="398"/>
      <c r="E4" s="398"/>
    </row>
    <row r="5" spans="2:8" ht="24.75" customHeight="1" x14ac:dyDescent="0.25">
      <c r="B5" s="398" t="s">
        <v>230</v>
      </c>
      <c r="C5" s="398"/>
      <c r="D5" s="398"/>
      <c r="E5" s="398"/>
    </row>
    <row r="6" spans="2:8" ht="24.75" customHeight="1" x14ac:dyDescent="0.25">
      <c r="B6" s="399">
        <v>45169</v>
      </c>
      <c r="C6" s="399"/>
      <c r="D6" s="399"/>
      <c r="E6" s="399"/>
      <c r="H6" s="1">
        <f>1236361200/2</f>
        <v>618180600</v>
      </c>
    </row>
    <row r="7" spans="2:8" ht="24.75" customHeight="1" thickBot="1" x14ac:dyDescent="0.3">
      <c r="B7" s="47"/>
      <c r="C7" s="47"/>
      <c r="D7" s="47"/>
      <c r="E7" s="9"/>
    </row>
    <row r="8" spans="2:8" ht="24.75" customHeight="1" thickBot="1" x14ac:dyDescent="0.3">
      <c r="B8" s="30" t="s">
        <v>240</v>
      </c>
      <c r="C8" s="48" t="s">
        <v>209</v>
      </c>
      <c r="D8" s="48" t="s">
        <v>213</v>
      </c>
      <c r="E8" s="31" t="s">
        <v>212</v>
      </c>
    </row>
    <row r="9" spans="2:8" ht="24.75" customHeight="1" x14ac:dyDescent="0.2">
      <c r="B9" s="56" t="s">
        <v>562</v>
      </c>
      <c r="C9" s="13">
        <v>0</v>
      </c>
      <c r="D9" s="13">
        <v>0</v>
      </c>
      <c r="E9" s="40">
        <v>618180600</v>
      </c>
      <c r="G9" s="6"/>
      <c r="H9" s="6"/>
    </row>
    <row r="10" spans="2:8" ht="24.75" customHeight="1" x14ac:dyDescent="0.35">
      <c r="B10" s="56" t="s">
        <v>563</v>
      </c>
      <c r="C10" s="13">
        <v>0</v>
      </c>
      <c r="D10" s="13">
        <v>0</v>
      </c>
      <c r="E10" s="41">
        <f>+E9</f>
        <v>618180600</v>
      </c>
      <c r="G10" s="6"/>
      <c r="H10" s="6"/>
    </row>
    <row r="11" spans="2:8" ht="25.5" customHeight="1" x14ac:dyDescent="0.4">
      <c r="B11" s="45" t="s">
        <v>225</v>
      </c>
      <c r="C11" s="27">
        <f>SUM(C9:C10)</f>
        <v>0</v>
      </c>
      <c r="D11" s="26"/>
      <c r="E11" s="42">
        <f>SUM(E9:E10)</f>
        <v>1236361200</v>
      </c>
      <c r="G11" s="38"/>
      <c r="H11" s="6"/>
    </row>
    <row r="12" spans="2:8" ht="24.75" customHeight="1" thickBot="1" x14ac:dyDescent="0.3">
      <c r="B12" s="58"/>
      <c r="C12" s="59"/>
      <c r="D12" s="59"/>
      <c r="E12" s="55"/>
      <c r="G12" s="2"/>
      <c r="H12" s="6"/>
    </row>
    <row r="13" spans="2:8" ht="24.75" customHeight="1" x14ac:dyDescent="0.25">
      <c r="B13" s="10"/>
      <c r="C13" s="12"/>
      <c r="D13" s="12"/>
      <c r="G13" s="2"/>
      <c r="H13" s="6"/>
    </row>
    <row r="14" spans="2:8" ht="24.75" customHeight="1" x14ac:dyDescent="0.2">
      <c r="B14" s="70"/>
      <c r="C14" s="4"/>
      <c r="D14" s="4"/>
      <c r="E14" s="4"/>
      <c r="G14" s="6"/>
      <c r="H14" s="6"/>
    </row>
    <row r="15" spans="2:8" ht="24.75" customHeight="1" x14ac:dyDescent="0.35">
      <c r="B15" s="70"/>
      <c r="C15" s="4"/>
      <c r="D15" s="4"/>
      <c r="E15" s="99"/>
      <c r="G15" s="6"/>
      <c r="H15" s="6"/>
    </row>
    <row r="16" spans="2:8" ht="24.75" customHeight="1" x14ac:dyDescent="0.2">
      <c r="C16" s="2"/>
      <c r="D16" s="258"/>
      <c r="E16" s="2"/>
      <c r="G16" s="6"/>
      <c r="H16" s="6"/>
    </row>
    <row r="17" spans="3:8" ht="24.75" hidden="1" customHeight="1" x14ac:dyDescent="0.35">
      <c r="C17" s="2"/>
      <c r="D17" s="269"/>
      <c r="E17" s="60"/>
      <c r="G17" s="6"/>
      <c r="H17" s="6"/>
    </row>
    <row r="18" spans="3:8" ht="24.75" customHeight="1" x14ac:dyDescent="0.4">
      <c r="C18" s="207"/>
      <c r="D18" s="18"/>
      <c r="E18" s="38"/>
      <c r="G18" s="6"/>
      <c r="H18" s="6"/>
    </row>
    <row r="19" spans="3:8" ht="24.75" customHeight="1" x14ac:dyDescent="0.25">
      <c r="C19" s="61"/>
      <c r="D19" s="18"/>
      <c r="E19" s="270"/>
      <c r="H19" s="6"/>
    </row>
    <row r="20" spans="3:8" ht="24.75" customHeight="1" x14ac:dyDescent="0.2">
      <c r="C20" s="61"/>
      <c r="D20" s="18"/>
      <c r="E20" s="18"/>
      <c r="H20" s="6"/>
    </row>
    <row r="21" spans="3:8" ht="24.75" customHeight="1" x14ac:dyDescent="0.2">
      <c r="C21" s="61"/>
      <c r="D21" s="61"/>
      <c r="E21" s="61"/>
      <c r="H21" s="6"/>
    </row>
    <row r="22" spans="3:8" ht="24.75" customHeight="1" x14ac:dyDescent="0.2">
      <c r="C22" s="61"/>
      <c r="D22" s="61"/>
      <c r="E22" s="61"/>
      <c r="H22" s="6"/>
    </row>
    <row r="23" spans="3:8" ht="24.75" customHeight="1" x14ac:dyDescent="0.2">
      <c r="C23" s="61"/>
      <c r="D23" s="61"/>
      <c r="E23" s="61"/>
      <c r="H23" s="6"/>
    </row>
    <row r="24" spans="3:8" ht="24.75" customHeight="1" x14ac:dyDescent="0.2">
      <c r="C24" s="61"/>
      <c r="D24" s="61"/>
      <c r="E24" s="61"/>
      <c r="H24" s="6"/>
    </row>
    <row r="25" spans="3:8" ht="24.75" customHeight="1" x14ac:dyDescent="0.2">
      <c r="C25" s="61"/>
      <c r="D25" s="61"/>
      <c r="E25" s="61"/>
      <c r="H25" s="6"/>
    </row>
    <row r="26" spans="3:8" ht="24.75" customHeight="1" x14ac:dyDescent="0.2">
      <c r="C26" s="61"/>
      <c r="D26" s="61"/>
      <c r="E26" s="61"/>
      <c r="H26" s="6"/>
    </row>
    <row r="27" spans="3:8" ht="24.75" customHeight="1" x14ac:dyDescent="0.2">
      <c r="C27" s="61"/>
      <c r="D27" s="61"/>
      <c r="E27" s="61"/>
      <c r="H27" s="6"/>
    </row>
    <row r="28" spans="3:8" ht="24.75" customHeight="1" x14ac:dyDescent="0.2">
      <c r="C28" s="61"/>
      <c r="D28" s="61"/>
      <c r="E28" s="61"/>
      <c r="H28" s="6"/>
    </row>
    <row r="29" spans="3:8" ht="24.75" customHeight="1" x14ac:dyDescent="0.2">
      <c r="C29" s="61"/>
      <c r="D29" s="61"/>
      <c r="E29" s="61"/>
      <c r="H29" s="6"/>
    </row>
    <row r="30" spans="3:8" ht="24.75" customHeight="1" x14ac:dyDescent="0.2">
      <c r="C30" s="61"/>
      <c r="D30" s="61"/>
      <c r="E30" s="61"/>
      <c r="H30" s="6"/>
    </row>
    <row r="31" spans="3:8" ht="24.75" customHeight="1" x14ac:dyDescent="0.2">
      <c r="C31" s="61"/>
      <c r="D31" s="61"/>
      <c r="E31" s="61"/>
    </row>
    <row r="32" spans="3:8" ht="24.75" customHeight="1" x14ac:dyDescent="0.2">
      <c r="C32" s="61"/>
      <c r="D32" s="61"/>
      <c r="E32" s="61"/>
    </row>
    <row r="33" spans="3:5" ht="24.75" customHeight="1" x14ac:dyDescent="0.2">
      <c r="C33" s="61"/>
      <c r="D33" s="61"/>
      <c r="E33" s="61"/>
    </row>
    <row r="34" spans="3:5" ht="24.75" customHeight="1" x14ac:dyDescent="0.2">
      <c r="C34" s="61"/>
      <c r="D34" s="61"/>
      <c r="E34" s="61"/>
    </row>
    <row r="35" spans="3:5" ht="24.75" customHeight="1" x14ac:dyDescent="0.2">
      <c r="C35" s="61"/>
      <c r="D35" s="61"/>
      <c r="E35" s="61"/>
    </row>
    <row r="36" spans="3:5" ht="24.75" customHeight="1" x14ac:dyDescent="0.2">
      <c r="C36" s="61"/>
      <c r="D36" s="61"/>
      <c r="E36" s="61"/>
    </row>
    <row r="37" spans="3:5" ht="24.75" customHeight="1" x14ac:dyDescent="0.2">
      <c r="C37" s="61"/>
      <c r="D37" s="61"/>
      <c r="E37" s="61"/>
    </row>
    <row r="38" spans="3:5" ht="24.75" customHeight="1" x14ac:dyDescent="0.2">
      <c r="C38" s="61"/>
      <c r="D38" s="61"/>
      <c r="E38" s="61"/>
    </row>
    <row r="39" spans="3:5" ht="24.75" customHeight="1" x14ac:dyDescent="0.2">
      <c r="C39" s="61"/>
      <c r="D39" s="61"/>
      <c r="E39" s="61"/>
    </row>
    <row r="40" spans="3:5" ht="24.75" customHeight="1" x14ac:dyDescent="0.2">
      <c r="C40" s="61"/>
      <c r="D40" s="61"/>
      <c r="E40" s="61"/>
    </row>
    <row r="41" spans="3:5" ht="24.75" customHeight="1" x14ac:dyDescent="0.2">
      <c r="C41" s="61"/>
      <c r="D41" s="61"/>
      <c r="E41" s="61"/>
    </row>
    <row r="42" spans="3:5" ht="24.75" customHeight="1" x14ac:dyDescent="0.2">
      <c r="C42" s="61"/>
      <c r="D42" s="61"/>
      <c r="E42" s="61"/>
    </row>
    <row r="43" spans="3:5" ht="24.75" customHeight="1" x14ac:dyDescent="0.2">
      <c r="C43" s="61"/>
      <c r="D43" s="61"/>
      <c r="E43" s="61"/>
    </row>
    <row r="44" spans="3:5" ht="24.75" customHeight="1" x14ac:dyDescent="0.2">
      <c r="C44" s="61"/>
      <c r="D44" s="61"/>
      <c r="E44" s="61"/>
    </row>
    <row r="45" spans="3:5" ht="24.75" customHeight="1" x14ac:dyDescent="0.2">
      <c r="C45" s="61"/>
      <c r="D45" s="61"/>
      <c r="E45" s="61"/>
    </row>
    <row r="46" spans="3:5" ht="24.75" customHeight="1" x14ac:dyDescent="0.2">
      <c r="C46" s="61"/>
      <c r="D46" s="61"/>
      <c r="E46" s="61"/>
    </row>
    <row r="47" spans="3:5" ht="24.75" customHeight="1" x14ac:dyDescent="0.2">
      <c r="C47" s="61"/>
      <c r="D47" s="61"/>
      <c r="E47" s="61"/>
    </row>
    <row r="48" spans="3:5" ht="24.75" customHeight="1" x14ac:dyDescent="0.2">
      <c r="C48" s="61"/>
      <c r="D48" s="61"/>
      <c r="E48" s="61"/>
    </row>
    <row r="49" spans="3:5" ht="24.75" customHeight="1" x14ac:dyDescent="0.2">
      <c r="C49" s="61"/>
      <c r="D49" s="61"/>
      <c r="E49" s="61"/>
    </row>
    <row r="50" spans="3:5" ht="24.75" customHeight="1" x14ac:dyDescent="0.2">
      <c r="C50" s="61"/>
      <c r="D50" s="61"/>
      <c r="E50" s="61"/>
    </row>
    <row r="51" spans="3:5" ht="24.75" customHeight="1" x14ac:dyDescent="0.2">
      <c r="C51" s="61"/>
      <c r="D51" s="61"/>
      <c r="E51" s="61"/>
    </row>
    <row r="52" spans="3:5" ht="24.75" customHeight="1" x14ac:dyDescent="0.2">
      <c r="C52" s="61"/>
      <c r="D52" s="61"/>
      <c r="E52" s="61"/>
    </row>
    <row r="53" spans="3:5" ht="24.75" customHeight="1" x14ac:dyDescent="0.2">
      <c r="C53" s="61"/>
      <c r="D53" s="61"/>
      <c r="E53" s="61"/>
    </row>
    <row r="54" spans="3:5" ht="24.75" customHeight="1" x14ac:dyDescent="0.2">
      <c r="C54" s="61"/>
      <c r="D54" s="61"/>
      <c r="E54" s="61"/>
    </row>
    <row r="55" spans="3:5" ht="24.75" customHeight="1" x14ac:dyDescent="0.2">
      <c r="C55" s="61"/>
      <c r="D55" s="61"/>
      <c r="E55" s="61"/>
    </row>
    <row r="56" spans="3:5" ht="24.75" customHeight="1" x14ac:dyDescent="0.2">
      <c r="C56" s="61"/>
      <c r="D56" s="61"/>
      <c r="E56" s="61"/>
    </row>
    <row r="57" spans="3:5" ht="24.75" customHeight="1" x14ac:dyDescent="0.2">
      <c r="C57" s="61"/>
      <c r="D57" s="61"/>
      <c r="E57" s="61"/>
    </row>
    <row r="58" spans="3:5" ht="24.75" customHeight="1" x14ac:dyDescent="0.2">
      <c r="C58" s="61"/>
      <c r="D58" s="61"/>
      <c r="E58" s="61"/>
    </row>
    <row r="59" spans="3:5" ht="24.75" customHeight="1" x14ac:dyDescent="0.2">
      <c r="C59" s="61"/>
      <c r="D59" s="61"/>
      <c r="E59" s="61"/>
    </row>
    <row r="60" spans="3:5" ht="24.75" customHeight="1" x14ac:dyDescent="0.2">
      <c r="C60" s="61"/>
      <c r="D60" s="61"/>
      <c r="E60" s="61"/>
    </row>
    <row r="61" spans="3:5" ht="24.75" customHeight="1" x14ac:dyDescent="0.2">
      <c r="C61" s="61"/>
      <c r="D61" s="61"/>
      <c r="E61" s="61"/>
    </row>
    <row r="62" spans="3:5" ht="24.75" customHeight="1" x14ac:dyDescent="0.2">
      <c r="C62" s="61"/>
      <c r="D62" s="61"/>
      <c r="E62" s="61"/>
    </row>
    <row r="63" spans="3:5" ht="24.75" customHeight="1" x14ac:dyDescent="0.2">
      <c r="C63" s="61"/>
      <c r="D63" s="61"/>
      <c r="E63" s="61"/>
    </row>
    <row r="64" spans="3:5" ht="24.75" customHeight="1" x14ac:dyDescent="0.2">
      <c r="C64" s="61"/>
      <c r="D64" s="61"/>
      <c r="E64" s="61"/>
    </row>
    <row r="65" spans="3:5" ht="24.75" customHeight="1" x14ac:dyDescent="0.2">
      <c r="C65" s="61"/>
      <c r="D65" s="61"/>
      <c r="E65" s="61"/>
    </row>
    <row r="66" spans="3:5" ht="24.75" customHeight="1" x14ac:dyDescent="0.2">
      <c r="C66" s="61"/>
      <c r="D66" s="61"/>
      <c r="E66" s="61"/>
    </row>
    <row r="67" spans="3:5" ht="24.75" customHeight="1" x14ac:dyDescent="0.2">
      <c r="C67" s="61"/>
      <c r="D67" s="61"/>
      <c r="E67" s="61"/>
    </row>
    <row r="68" spans="3:5" ht="24.75" customHeight="1" x14ac:dyDescent="0.2">
      <c r="C68" s="61"/>
      <c r="D68" s="61"/>
      <c r="E68" s="61"/>
    </row>
    <row r="69" spans="3:5" ht="24.75" customHeight="1" x14ac:dyDescent="0.2">
      <c r="C69" s="61"/>
      <c r="D69" s="61"/>
      <c r="E69" s="61"/>
    </row>
    <row r="70" spans="3:5" ht="24.75" customHeight="1" x14ac:dyDescent="0.2">
      <c r="C70" s="61"/>
      <c r="D70" s="61"/>
      <c r="E70" s="61"/>
    </row>
    <row r="71" spans="3:5" ht="24.75" customHeight="1" x14ac:dyDescent="0.2">
      <c r="C71" s="61"/>
      <c r="D71" s="61"/>
      <c r="E71" s="61"/>
    </row>
    <row r="72" spans="3:5" ht="24.75" customHeight="1" x14ac:dyDescent="0.2">
      <c r="C72" s="61"/>
      <c r="D72" s="61"/>
      <c r="E72" s="61"/>
    </row>
    <row r="73" spans="3:5" ht="24.75" customHeight="1" x14ac:dyDescent="0.2">
      <c r="C73" s="61"/>
      <c r="D73" s="61"/>
      <c r="E73" s="61"/>
    </row>
    <row r="74" spans="3:5" ht="24.75" customHeight="1" x14ac:dyDescent="0.2">
      <c r="C74" s="61"/>
      <c r="D74" s="61"/>
      <c r="E74" s="61"/>
    </row>
    <row r="75" spans="3:5" ht="24.75" customHeight="1" x14ac:dyDescent="0.2">
      <c r="C75" s="61"/>
      <c r="D75" s="61"/>
      <c r="E75" s="61"/>
    </row>
    <row r="76" spans="3:5" ht="24.75" customHeight="1" x14ac:dyDescent="0.2">
      <c r="C76" s="61"/>
      <c r="D76" s="61"/>
      <c r="E76" s="61"/>
    </row>
    <row r="77" spans="3:5" ht="24.75" customHeight="1" x14ac:dyDescent="0.2">
      <c r="C77" s="61"/>
      <c r="D77" s="61"/>
      <c r="E77" s="61"/>
    </row>
    <row r="78" spans="3:5" ht="24.75" customHeight="1" x14ac:dyDescent="0.2">
      <c r="C78" s="61"/>
      <c r="D78" s="61"/>
      <c r="E78" s="61"/>
    </row>
    <row r="79" spans="3:5" ht="24.75" customHeight="1" x14ac:dyDescent="0.2">
      <c r="C79" s="61"/>
      <c r="D79" s="61"/>
      <c r="E79" s="61"/>
    </row>
    <row r="80" spans="3:5" ht="24.75" customHeight="1" x14ac:dyDescent="0.2">
      <c r="C80" s="61"/>
      <c r="D80" s="61"/>
      <c r="E80" s="61"/>
    </row>
    <row r="81" spans="3:5" ht="24.75" customHeight="1" x14ac:dyDescent="0.2">
      <c r="C81" s="61"/>
      <c r="D81" s="61"/>
      <c r="E81" s="61"/>
    </row>
    <row r="82" spans="3:5" ht="24.75" customHeight="1" x14ac:dyDescent="0.2">
      <c r="C82" s="61"/>
      <c r="D82" s="61"/>
      <c r="E82" s="61"/>
    </row>
    <row r="83" spans="3:5" ht="24.75" customHeight="1" x14ac:dyDescent="0.2">
      <c r="C83" s="61"/>
      <c r="D83" s="61"/>
      <c r="E83" s="61"/>
    </row>
    <row r="84" spans="3:5" ht="24.75" customHeight="1" x14ac:dyDescent="0.2">
      <c r="C84" s="61"/>
      <c r="D84" s="61"/>
      <c r="E84" s="61"/>
    </row>
    <row r="85" spans="3:5" ht="24.75" customHeight="1" x14ac:dyDescent="0.2">
      <c r="C85" s="61"/>
      <c r="D85" s="61"/>
      <c r="E85" s="61"/>
    </row>
    <row r="86" spans="3:5" ht="24.75" customHeight="1" x14ac:dyDescent="0.2">
      <c r="C86" s="61"/>
      <c r="D86" s="61"/>
      <c r="E86" s="61"/>
    </row>
    <row r="87" spans="3:5" ht="24.75" customHeight="1" x14ac:dyDescent="0.2">
      <c r="C87" s="61"/>
      <c r="D87" s="61"/>
      <c r="E87" s="61"/>
    </row>
    <row r="88" spans="3:5" ht="24.75" customHeight="1" x14ac:dyDescent="0.2">
      <c r="C88" s="61"/>
      <c r="D88" s="61"/>
      <c r="E88" s="61"/>
    </row>
    <row r="89" spans="3:5" ht="24.75" customHeight="1" x14ac:dyDescent="0.2">
      <c r="C89" s="61"/>
      <c r="D89" s="61"/>
      <c r="E89" s="61"/>
    </row>
    <row r="90" spans="3:5" ht="24.75" customHeight="1" x14ac:dyDescent="0.2">
      <c r="C90" s="61"/>
      <c r="D90" s="61"/>
      <c r="E90" s="61"/>
    </row>
    <row r="91" spans="3:5" ht="24.75" customHeight="1" x14ac:dyDescent="0.2">
      <c r="C91" s="61"/>
      <c r="D91" s="61"/>
      <c r="E91" s="61"/>
    </row>
    <row r="92" spans="3:5" ht="24.75" customHeight="1" x14ac:dyDescent="0.2">
      <c r="C92" s="61"/>
      <c r="D92" s="61"/>
      <c r="E92" s="61"/>
    </row>
    <row r="93" spans="3:5" ht="24.75" customHeight="1" x14ac:dyDescent="0.2">
      <c r="C93" s="61"/>
      <c r="D93" s="61"/>
      <c r="E93" s="61"/>
    </row>
    <row r="94" spans="3:5" ht="24.75" customHeight="1" x14ac:dyDescent="0.2">
      <c r="C94" s="61"/>
      <c r="D94" s="61"/>
      <c r="E94" s="61"/>
    </row>
    <row r="95" spans="3:5" ht="24.75" customHeight="1" x14ac:dyDescent="0.2">
      <c r="C95" s="61"/>
      <c r="D95" s="61"/>
      <c r="E95" s="61"/>
    </row>
    <row r="96" spans="3:5" ht="24.75" customHeight="1" x14ac:dyDescent="0.2">
      <c r="C96" s="61"/>
      <c r="D96" s="61"/>
      <c r="E96" s="61"/>
    </row>
    <row r="97" spans="3:5" ht="24.75" customHeight="1" x14ac:dyDescent="0.2">
      <c r="C97" s="61"/>
      <c r="D97" s="61"/>
      <c r="E97" s="61"/>
    </row>
    <row r="98" spans="3:5" ht="24.75" customHeight="1" x14ac:dyDescent="0.2">
      <c r="C98" s="61"/>
      <c r="D98" s="61"/>
      <c r="E98" s="61"/>
    </row>
    <row r="99" spans="3:5" ht="24.75" customHeight="1" x14ac:dyDescent="0.2">
      <c r="C99" s="61"/>
      <c r="D99" s="61"/>
      <c r="E99" s="61"/>
    </row>
    <row r="100" spans="3:5" ht="24.75" customHeight="1" x14ac:dyDescent="0.2">
      <c r="C100" s="61"/>
      <c r="D100" s="61"/>
      <c r="E100" s="61"/>
    </row>
    <row r="101" spans="3:5" ht="24.75" customHeight="1" x14ac:dyDescent="0.2">
      <c r="C101" s="61"/>
      <c r="D101" s="61"/>
      <c r="E101" s="61"/>
    </row>
    <row r="102" spans="3:5" ht="24.75" customHeight="1" x14ac:dyDescent="0.2">
      <c r="C102" s="61"/>
      <c r="D102" s="61"/>
      <c r="E102" s="61"/>
    </row>
    <row r="103" spans="3:5" ht="24.75" customHeight="1" x14ac:dyDescent="0.2">
      <c r="C103" s="61"/>
      <c r="D103" s="61"/>
      <c r="E103" s="61"/>
    </row>
    <row r="104" spans="3:5" ht="24.75" customHeight="1" x14ac:dyDescent="0.2">
      <c r="C104" s="61"/>
      <c r="D104" s="61"/>
      <c r="E104" s="61"/>
    </row>
    <row r="105" spans="3:5" ht="24.75" customHeight="1" x14ac:dyDescent="0.2">
      <c r="C105" s="61"/>
      <c r="D105" s="61"/>
      <c r="E105" s="61"/>
    </row>
    <row r="106" spans="3:5" ht="24.75" customHeight="1" x14ac:dyDescent="0.2">
      <c r="C106" s="61"/>
      <c r="D106" s="61"/>
      <c r="E106" s="61"/>
    </row>
    <row r="107" spans="3:5" ht="24.75" customHeight="1" x14ac:dyDescent="0.2">
      <c r="C107" s="61"/>
      <c r="D107" s="61"/>
      <c r="E107" s="61"/>
    </row>
    <row r="108" spans="3:5" ht="24.75" customHeight="1" x14ac:dyDescent="0.2">
      <c r="C108" s="61"/>
      <c r="D108" s="61"/>
      <c r="E108" s="61"/>
    </row>
    <row r="109" spans="3:5" ht="24.75" customHeight="1" x14ac:dyDescent="0.2">
      <c r="C109" s="61"/>
      <c r="D109" s="61"/>
      <c r="E109" s="61"/>
    </row>
    <row r="110" spans="3:5" ht="24.75" customHeight="1" x14ac:dyDescent="0.2">
      <c r="C110" s="61"/>
      <c r="D110" s="61"/>
      <c r="E110" s="61"/>
    </row>
    <row r="111" spans="3:5" ht="24.75" customHeight="1" x14ac:dyDescent="0.2">
      <c r="C111" s="61"/>
      <c r="D111" s="61"/>
      <c r="E111" s="61"/>
    </row>
    <row r="112" spans="3:5" ht="24.75" customHeight="1" x14ac:dyDescent="0.2">
      <c r="C112" s="61"/>
      <c r="D112" s="61"/>
      <c r="E112" s="61"/>
    </row>
    <row r="113" spans="3:5" ht="24.75" customHeight="1" x14ac:dyDescent="0.2">
      <c r="C113" s="61"/>
      <c r="D113" s="61"/>
      <c r="E113" s="61"/>
    </row>
    <row r="114" spans="3:5" ht="24.75" customHeight="1" x14ac:dyDescent="0.2">
      <c r="C114" s="61"/>
      <c r="D114" s="61"/>
      <c r="E114" s="61"/>
    </row>
    <row r="115" spans="3:5" ht="24.75" customHeight="1" x14ac:dyDescent="0.2">
      <c r="C115" s="61"/>
      <c r="D115" s="61"/>
      <c r="E115" s="61"/>
    </row>
    <row r="116" spans="3:5" ht="24.75" customHeight="1" x14ac:dyDescent="0.2">
      <c r="C116" s="61"/>
      <c r="D116" s="61"/>
      <c r="E116" s="61"/>
    </row>
    <row r="117" spans="3:5" ht="24.75" customHeight="1" x14ac:dyDescent="0.2">
      <c r="C117" s="61"/>
      <c r="D117" s="61"/>
      <c r="E117" s="61"/>
    </row>
    <row r="118" spans="3:5" ht="24.75" customHeight="1" x14ac:dyDescent="0.2">
      <c r="C118" s="61"/>
      <c r="D118" s="61"/>
      <c r="E118" s="61"/>
    </row>
    <row r="119" spans="3:5" ht="24.75" customHeight="1" x14ac:dyDescent="0.2">
      <c r="C119" s="61"/>
      <c r="D119" s="61"/>
      <c r="E119" s="61"/>
    </row>
    <row r="120" spans="3:5" ht="24.75" customHeight="1" x14ac:dyDescent="0.2">
      <c r="C120" s="61"/>
      <c r="D120" s="61"/>
      <c r="E120" s="61"/>
    </row>
    <row r="121" spans="3:5" ht="24.75" customHeight="1" x14ac:dyDescent="0.2">
      <c r="C121" s="61"/>
      <c r="D121" s="61"/>
      <c r="E121" s="61"/>
    </row>
    <row r="122" spans="3:5" ht="24.75" customHeight="1" x14ac:dyDescent="0.2">
      <c r="C122" s="61"/>
      <c r="D122" s="61"/>
      <c r="E122" s="61"/>
    </row>
    <row r="123" spans="3:5" ht="24.75" customHeight="1" x14ac:dyDescent="0.2">
      <c r="C123" s="61"/>
      <c r="D123" s="61"/>
      <c r="E123" s="61"/>
    </row>
    <row r="124" spans="3:5" ht="24.75" customHeight="1" x14ac:dyDescent="0.2">
      <c r="C124" s="61"/>
      <c r="D124" s="61"/>
      <c r="E124" s="61"/>
    </row>
    <row r="125" spans="3:5" ht="24.75" customHeight="1" x14ac:dyDescent="0.2">
      <c r="C125" s="61"/>
      <c r="D125" s="61"/>
      <c r="E125" s="61"/>
    </row>
    <row r="126" spans="3:5" ht="24.75" customHeight="1" x14ac:dyDescent="0.2">
      <c r="C126" s="61"/>
      <c r="D126" s="61"/>
      <c r="E126" s="61"/>
    </row>
    <row r="127" spans="3:5" ht="24.75" customHeight="1" x14ac:dyDescent="0.2">
      <c r="C127" s="61"/>
      <c r="D127" s="61"/>
      <c r="E127" s="61"/>
    </row>
    <row r="128" spans="3:5" ht="24.75" customHeight="1" x14ac:dyDescent="0.2">
      <c r="C128" s="61"/>
      <c r="D128" s="61"/>
      <c r="E128" s="61"/>
    </row>
    <row r="129" spans="3:5" ht="24.75" customHeight="1" x14ac:dyDescent="0.2">
      <c r="C129" s="61"/>
      <c r="D129" s="61"/>
      <c r="E129" s="61"/>
    </row>
    <row r="130" spans="3:5" ht="24.75" customHeight="1" x14ac:dyDescent="0.2">
      <c r="C130" s="61"/>
      <c r="D130" s="61"/>
      <c r="E130" s="61"/>
    </row>
    <row r="131" spans="3:5" ht="24.75" customHeight="1" x14ac:dyDescent="0.2">
      <c r="C131" s="61"/>
      <c r="D131" s="61"/>
      <c r="E131" s="61"/>
    </row>
    <row r="132" spans="3:5" ht="24.75" customHeight="1" x14ac:dyDescent="0.2">
      <c r="C132" s="61"/>
      <c r="D132" s="61"/>
      <c r="E132" s="61"/>
    </row>
    <row r="133" spans="3:5" ht="24.75" customHeight="1" x14ac:dyDescent="0.2">
      <c r="C133" s="61"/>
      <c r="D133" s="61"/>
      <c r="E133" s="61"/>
    </row>
    <row r="134" spans="3:5" ht="24.75" customHeight="1" x14ac:dyDescent="0.2">
      <c r="C134" s="61"/>
      <c r="D134" s="61"/>
      <c r="E134" s="61"/>
    </row>
    <row r="135" spans="3:5" ht="24.75" customHeight="1" x14ac:dyDescent="0.2">
      <c r="C135" s="61"/>
      <c r="D135" s="61"/>
      <c r="E135" s="61"/>
    </row>
    <row r="136" spans="3:5" ht="24.75" customHeight="1" x14ac:dyDescent="0.2">
      <c r="C136" s="61"/>
      <c r="D136" s="61"/>
      <c r="E136" s="61"/>
    </row>
    <row r="137" spans="3:5" ht="24.75" customHeight="1" x14ac:dyDescent="0.2">
      <c r="C137" s="61"/>
      <c r="D137" s="61"/>
      <c r="E137" s="61"/>
    </row>
    <row r="138" spans="3:5" ht="24.75" customHeight="1" x14ac:dyDescent="0.2">
      <c r="C138" s="61"/>
      <c r="D138" s="61"/>
      <c r="E138" s="61"/>
    </row>
    <row r="139" spans="3:5" ht="24.75" customHeight="1" x14ac:dyDescent="0.2">
      <c r="C139" s="61"/>
      <c r="D139" s="61"/>
      <c r="E139" s="61"/>
    </row>
    <row r="140" spans="3:5" ht="24.75" customHeight="1" x14ac:dyDescent="0.2">
      <c r="C140" s="61"/>
      <c r="D140" s="61"/>
      <c r="E140" s="61"/>
    </row>
    <row r="141" spans="3:5" ht="24.75" customHeight="1" x14ac:dyDescent="0.2">
      <c r="C141" s="61"/>
      <c r="D141" s="61"/>
      <c r="E141" s="61"/>
    </row>
    <row r="142" spans="3:5" ht="24.75" customHeight="1" x14ac:dyDescent="0.2">
      <c r="C142" s="61"/>
      <c r="D142" s="61"/>
      <c r="E142" s="61"/>
    </row>
    <row r="143" spans="3:5" ht="24.75" customHeight="1" x14ac:dyDescent="0.2">
      <c r="C143" s="61"/>
      <c r="D143" s="61"/>
      <c r="E143" s="61"/>
    </row>
    <row r="144" spans="3:5" ht="24.75" customHeight="1" x14ac:dyDescent="0.2">
      <c r="C144" s="61"/>
      <c r="D144" s="61"/>
      <c r="E144" s="61"/>
    </row>
    <row r="145" spans="3:5" ht="24.75" customHeight="1" x14ac:dyDescent="0.2">
      <c r="C145" s="61"/>
      <c r="D145" s="61"/>
      <c r="E145" s="61"/>
    </row>
    <row r="146" spans="3:5" ht="24.75" customHeight="1" x14ac:dyDescent="0.2">
      <c r="C146" s="61"/>
      <c r="D146" s="61"/>
      <c r="E146" s="61"/>
    </row>
    <row r="147" spans="3:5" ht="24.75" customHeight="1" x14ac:dyDescent="0.2">
      <c r="C147" s="61"/>
      <c r="D147" s="61"/>
      <c r="E147" s="61"/>
    </row>
    <row r="148" spans="3:5" ht="24.75" customHeight="1" x14ac:dyDescent="0.2">
      <c r="C148" s="61"/>
      <c r="D148" s="61"/>
      <c r="E148" s="61"/>
    </row>
    <row r="149" spans="3:5" ht="24.75" customHeight="1" x14ac:dyDescent="0.2">
      <c r="C149" s="61"/>
      <c r="D149" s="61"/>
      <c r="E149" s="61"/>
    </row>
    <row r="150" spans="3:5" ht="24.75" customHeight="1" x14ac:dyDescent="0.2">
      <c r="C150" s="61"/>
      <c r="D150" s="61"/>
      <c r="E150" s="61"/>
    </row>
    <row r="151" spans="3:5" ht="24.75" customHeight="1" x14ac:dyDescent="0.2">
      <c r="C151" s="61"/>
      <c r="D151" s="61"/>
      <c r="E151" s="61"/>
    </row>
    <row r="152" spans="3:5" ht="24.75" customHeight="1" x14ac:dyDescent="0.2">
      <c r="C152" s="61"/>
      <c r="D152" s="61"/>
      <c r="E152" s="61"/>
    </row>
    <row r="153" spans="3:5" ht="24.75" customHeight="1" x14ac:dyDescent="0.2">
      <c r="C153" s="61"/>
      <c r="D153" s="61"/>
      <c r="E153" s="61"/>
    </row>
    <row r="154" spans="3:5" ht="24.75" customHeight="1" x14ac:dyDescent="0.2">
      <c r="C154" s="61"/>
      <c r="D154" s="61"/>
      <c r="E154" s="61"/>
    </row>
    <row r="155" spans="3:5" ht="24.75" customHeight="1" x14ac:dyDescent="0.2">
      <c r="C155" s="61"/>
      <c r="D155" s="61"/>
      <c r="E155" s="61"/>
    </row>
    <row r="156" spans="3:5" ht="24.75" customHeight="1" x14ac:dyDescent="0.2">
      <c r="C156" s="61"/>
      <c r="D156" s="61"/>
      <c r="E156" s="61"/>
    </row>
    <row r="157" spans="3:5" ht="24.75" customHeight="1" x14ac:dyDescent="0.2">
      <c r="C157" s="61"/>
      <c r="D157" s="61"/>
      <c r="E157" s="61"/>
    </row>
    <row r="158" spans="3:5" ht="24.75" customHeight="1" x14ac:dyDescent="0.2">
      <c r="C158" s="61"/>
      <c r="D158" s="61"/>
      <c r="E158" s="61"/>
    </row>
    <row r="159" spans="3:5" ht="24.75" customHeight="1" x14ac:dyDescent="0.2">
      <c r="C159" s="61"/>
      <c r="D159" s="61"/>
      <c r="E159" s="61"/>
    </row>
    <row r="160" spans="3:5" ht="24.75" customHeight="1" x14ac:dyDescent="0.2">
      <c r="C160" s="61"/>
      <c r="D160" s="61"/>
      <c r="E160" s="61"/>
    </row>
    <row r="161" spans="3:5" ht="24.75" customHeight="1" x14ac:dyDescent="0.2">
      <c r="C161" s="61"/>
      <c r="D161" s="61"/>
      <c r="E161" s="61"/>
    </row>
    <row r="162" spans="3:5" ht="24.75" customHeight="1" x14ac:dyDescent="0.2">
      <c r="C162" s="61"/>
      <c r="D162" s="61"/>
      <c r="E162" s="61"/>
    </row>
    <row r="163" spans="3:5" ht="24.75" customHeight="1" x14ac:dyDescent="0.2">
      <c r="C163" s="61"/>
      <c r="D163" s="61"/>
      <c r="E163" s="61"/>
    </row>
    <row r="164" spans="3:5" ht="24.75" customHeight="1" x14ac:dyDescent="0.2">
      <c r="C164" s="61"/>
      <c r="D164" s="61"/>
      <c r="E164" s="61"/>
    </row>
    <row r="165" spans="3:5" ht="24.75" customHeight="1" x14ac:dyDescent="0.2">
      <c r="C165" s="61"/>
      <c r="D165" s="61"/>
      <c r="E165" s="61"/>
    </row>
    <row r="166" spans="3:5" ht="24.75" customHeight="1" x14ac:dyDescent="0.2">
      <c r="C166" s="61"/>
      <c r="D166" s="61"/>
      <c r="E166" s="61"/>
    </row>
    <row r="167" spans="3:5" ht="24.75" customHeight="1" x14ac:dyDescent="0.2">
      <c r="C167" s="61"/>
      <c r="D167" s="61"/>
      <c r="E167" s="61"/>
    </row>
    <row r="168" spans="3:5" ht="24.75" customHeight="1" x14ac:dyDescent="0.2">
      <c r="C168" s="61"/>
      <c r="D168" s="61"/>
      <c r="E168" s="61"/>
    </row>
    <row r="169" spans="3:5" ht="24.75" customHeight="1" x14ac:dyDescent="0.2">
      <c r="C169" s="61"/>
      <c r="D169" s="61"/>
      <c r="E169" s="61"/>
    </row>
    <row r="170" spans="3:5" ht="24.75" customHeight="1" x14ac:dyDescent="0.2">
      <c r="C170" s="61"/>
      <c r="D170" s="61"/>
      <c r="E170" s="61"/>
    </row>
    <row r="171" spans="3:5" ht="24.75" customHeight="1" x14ac:dyDescent="0.2">
      <c r="C171" s="61"/>
      <c r="D171" s="61"/>
      <c r="E171" s="61"/>
    </row>
    <row r="172" spans="3:5" ht="24.75" customHeight="1" x14ac:dyDescent="0.2">
      <c r="C172" s="61"/>
      <c r="D172" s="61"/>
      <c r="E172" s="61"/>
    </row>
    <row r="173" spans="3:5" ht="24.75" customHeight="1" x14ac:dyDescent="0.2">
      <c r="C173" s="61"/>
      <c r="D173" s="61"/>
      <c r="E173" s="61"/>
    </row>
    <row r="174" spans="3:5" ht="24.75" customHeight="1" x14ac:dyDescent="0.2">
      <c r="C174" s="61"/>
      <c r="D174" s="61"/>
      <c r="E174" s="61"/>
    </row>
    <row r="175" spans="3:5" ht="24.75" customHeight="1" x14ac:dyDescent="0.2">
      <c r="C175" s="61"/>
      <c r="D175" s="61"/>
      <c r="E175" s="61"/>
    </row>
    <row r="176" spans="3:5" ht="24.75" customHeight="1" x14ac:dyDescent="0.2">
      <c r="C176" s="61"/>
      <c r="D176" s="61"/>
      <c r="E176" s="61"/>
    </row>
    <row r="177" spans="3:5" ht="24.75" customHeight="1" x14ac:dyDescent="0.2">
      <c r="C177" s="61"/>
      <c r="D177" s="61"/>
      <c r="E177" s="61"/>
    </row>
    <row r="178" spans="3:5" ht="24.75" customHeight="1" x14ac:dyDescent="0.2">
      <c r="C178" s="61"/>
      <c r="D178" s="61"/>
      <c r="E178" s="61"/>
    </row>
    <row r="179" spans="3:5" ht="24.75" customHeight="1" x14ac:dyDescent="0.2">
      <c r="C179" s="61"/>
      <c r="D179" s="61"/>
      <c r="E179" s="61"/>
    </row>
    <row r="180" spans="3:5" ht="24.75" customHeight="1" x14ac:dyDescent="0.2">
      <c r="C180" s="61"/>
      <c r="D180" s="61"/>
      <c r="E180" s="61"/>
    </row>
    <row r="181" spans="3:5" ht="24.75" customHeight="1" x14ac:dyDescent="0.2">
      <c r="C181" s="61"/>
      <c r="D181" s="61"/>
      <c r="E181" s="61"/>
    </row>
    <row r="182" spans="3:5" ht="24.75" customHeight="1" x14ac:dyDescent="0.2">
      <c r="C182" s="61"/>
      <c r="D182" s="61"/>
      <c r="E182" s="61"/>
    </row>
    <row r="183" spans="3:5" ht="24.75" customHeight="1" x14ac:dyDescent="0.2">
      <c r="C183" s="61"/>
      <c r="D183" s="61"/>
      <c r="E183" s="61"/>
    </row>
    <row r="184" spans="3:5" ht="24.75" customHeight="1" x14ac:dyDescent="0.2">
      <c r="C184" s="61"/>
      <c r="D184" s="61"/>
      <c r="E184" s="61"/>
    </row>
    <row r="185" spans="3:5" ht="24.75" customHeight="1" x14ac:dyDescent="0.2">
      <c r="C185" s="61"/>
      <c r="D185" s="61"/>
      <c r="E185" s="61"/>
    </row>
    <row r="186" spans="3:5" ht="24.75" customHeight="1" x14ac:dyDescent="0.2">
      <c r="C186" s="61"/>
      <c r="D186" s="61"/>
      <c r="E186" s="61"/>
    </row>
    <row r="187" spans="3:5" ht="24.75" customHeight="1" x14ac:dyDescent="0.2">
      <c r="C187" s="61"/>
      <c r="D187" s="61"/>
      <c r="E187" s="61"/>
    </row>
    <row r="188" spans="3:5" ht="24.75" customHeight="1" x14ac:dyDescent="0.2">
      <c r="C188" s="61"/>
      <c r="D188" s="61"/>
      <c r="E188" s="61"/>
    </row>
    <row r="189" spans="3:5" ht="24.75" customHeight="1" x14ac:dyDescent="0.2">
      <c r="C189" s="61"/>
      <c r="D189" s="61"/>
      <c r="E189" s="61"/>
    </row>
    <row r="190" spans="3:5" ht="24.75" customHeight="1" x14ac:dyDescent="0.2">
      <c r="C190" s="61"/>
      <c r="D190" s="61"/>
      <c r="E190" s="61"/>
    </row>
    <row r="191" spans="3:5" ht="24.75" customHeight="1" x14ac:dyDescent="0.2">
      <c r="C191" s="61"/>
      <c r="D191" s="61"/>
      <c r="E191" s="61"/>
    </row>
    <row r="192" spans="3:5" ht="24.75" customHeight="1" x14ac:dyDescent="0.2">
      <c r="C192" s="61"/>
      <c r="D192" s="61"/>
      <c r="E192" s="61"/>
    </row>
    <row r="193" spans="3:5" ht="24.75" customHeight="1" x14ac:dyDescent="0.2">
      <c r="C193" s="61"/>
      <c r="D193" s="61"/>
      <c r="E193" s="61"/>
    </row>
    <row r="194" spans="3:5" ht="24.75" customHeight="1" x14ac:dyDescent="0.2">
      <c r="C194" s="61"/>
      <c r="D194" s="61"/>
      <c r="E194" s="61"/>
    </row>
    <row r="195" spans="3:5" ht="24.75" customHeight="1" x14ac:dyDescent="0.2">
      <c r="C195" s="61"/>
      <c r="D195" s="61"/>
      <c r="E195" s="61"/>
    </row>
    <row r="196" spans="3:5" ht="24.75" customHeight="1" x14ac:dyDescent="0.2">
      <c r="C196" s="61"/>
      <c r="D196" s="61"/>
      <c r="E196" s="61"/>
    </row>
    <row r="197" spans="3:5" ht="24.75" customHeight="1" x14ac:dyDescent="0.2">
      <c r="C197" s="61"/>
      <c r="D197" s="61"/>
      <c r="E197" s="61"/>
    </row>
    <row r="198" spans="3:5" ht="24.75" customHeight="1" x14ac:dyDescent="0.2">
      <c r="C198" s="61"/>
      <c r="D198" s="61"/>
      <c r="E198" s="61"/>
    </row>
    <row r="199" spans="3:5" ht="24.75" customHeight="1" x14ac:dyDescent="0.2">
      <c r="C199" s="61"/>
      <c r="D199" s="61"/>
      <c r="E199" s="61"/>
    </row>
    <row r="200" spans="3:5" ht="24.75" customHeight="1" x14ac:dyDescent="0.2">
      <c r="C200" s="61"/>
      <c r="D200" s="61"/>
      <c r="E200" s="61"/>
    </row>
    <row r="201" spans="3:5" ht="24.75" customHeight="1" x14ac:dyDescent="0.2">
      <c r="C201" s="61"/>
      <c r="D201" s="61"/>
      <c r="E201" s="61"/>
    </row>
    <row r="202" spans="3:5" ht="24.75" customHeight="1" x14ac:dyDescent="0.2">
      <c r="C202" s="61"/>
      <c r="D202" s="61"/>
      <c r="E202" s="61"/>
    </row>
    <row r="203" spans="3:5" ht="24.75" customHeight="1" x14ac:dyDescent="0.2">
      <c r="C203" s="61"/>
      <c r="D203" s="61"/>
      <c r="E203" s="61"/>
    </row>
    <row r="204" spans="3:5" ht="24.75" customHeight="1" x14ac:dyDescent="0.2">
      <c r="C204" s="61"/>
      <c r="D204" s="61"/>
      <c r="E204" s="61"/>
    </row>
    <row r="205" spans="3:5" ht="24.75" customHeight="1" x14ac:dyDescent="0.2">
      <c r="C205" s="61"/>
      <c r="D205" s="61"/>
      <c r="E205" s="61"/>
    </row>
    <row r="206" spans="3:5" ht="24.75" customHeight="1" x14ac:dyDescent="0.2">
      <c r="C206" s="61"/>
      <c r="D206" s="61"/>
      <c r="E206" s="61"/>
    </row>
    <row r="207" spans="3:5" ht="24.75" customHeight="1" x14ac:dyDescent="0.2">
      <c r="C207" s="61"/>
      <c r="D207" s="61"/>
      <c r="E207" s="61"/>
    </row>
    <row r="208" spans="3:5" ht="24.75" customHeight="1" x14ac:dyDescent="0.2">
      <c r="C208" s="61"/>
      <c r="D208" s="61"/>
      <c r="E208" s="61"/>
    </row>
    <row r="209" spans="3:5" ht="24.75" customHeight="1" x14ac:dyDescent="0.2">
      <c r="C209" s="61"/>
      <c r="D209" s="61"/>
      <c r="E209" s="61"/>
    </row>
    <row r="210" spans="3:5" ht="24.75" customHeight="1" x14ac:dyDescent="0.2">
      <c r="C210" s="61"/>
      <c r="D210" s="61"/>
      <c r="E210" s="61"/>
    </row>
  </sheetData>
  <mergeCells count="4">
    <mergeCell ref="B5:E5"/>
    <mergeCell ref="B6:E6"/>
    <mergeCell ref="B4:E4"/>
    <mergeCell ref="B3:E3"/>
  </mergeCells>
  <pageMargins left="0.59055118110236227" right="0.70866141732283472" top="0.74803149606299213" bottom="0.74803149606299213" header="0.31496062992125984" footer="0.31496062992125984"/>
  <pageSetup scale="98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D17" sqref="A1:E17"/>
    </sheetView>
  </sheetViews>
  <sheetFormatPr baseColWidth="10" defaultRowHeight="24.75" customHeight="1" x14ac:dyDescent="0.2"/>
  <cols>
    <col min="1" max="1" width="11.42578125" style="1"/>
    <col min="2" max="2" width="48.140625" style="1" customWidth="1"/>
    <col min="3" max="3" width="24.5703125" style="1" customWidth="1"/>
    <col min="4" max="16384" width="11.42578125" style="1"/>
  </cols>
  <sheetData>
    <row r="3" spans="1:10" ht="24.75" customHeight="1" x14ac:dyDescent="0.25">
      <c r="A3" s="75"/>
      <c r="B3" s="398" t="s">
        <v>233</v>
      </c>
      <c r="C3" s="398"/>
      <c r="D3" s="75"/>
      <c r="G3" s="9"/>
      <c r="H3" s="9"/>
      <c r="I3" s="9"/>
      <c r="J3" s="9"/>
    </row>
    <row r="4" spans="1:10" ht="24.75" customHeight="1" x14ac:dyDescent="0.25">
      <c r="A4" s="75"/>
      <c r="B4" s="398" t="s">
        <v>227</v>
      </c>
      <c r="C4" s="398"/>
      <c r="D4" s="75"/>
      <c r="G4" s="9"/>
      <c r="H4" s="9"/>
      <c r="I4" s="9"/>
      <c r="J4" s="9"/>
    </row>
    <row r="5" spans="1:10" ht="24.75" customHeight="1" x14ac:dyDescent="0.25">
      <c r="A5" s="75"/>
      <c r="B5" s="398" t="s">
        <v>237</v>
      </c>
      <c r="C5" s="398"/>
      <c r="D5" s="75"/>
      <c r="G5" s="9"/>
      <c r="H5" s="9"/>
      <c r="I5" s="9"/>
      <c r="J5" s="9"/>
    </row>
    <row r="6" spans="1:10" ht="24.75" customHeight="1" x14ac:dyDescent="0.25">
      <c r="A6" s="75"/>
      <c r="B6" s="399">
        <v>45169</v>
      </c>
      <c r="C6" s="399"/>
      <c r="D6" s="75"/>
    </row>
    <row r="7" spans="1:10" ht="24.75" customHeight="1" thickBot="1" x14ac:dyDescent="0.3">
      <c r="A7" s="75"/>
      <c r="B7" s="24"/>
      <c r="C7" s="24"/>
      <c r="D7" s="75"/>
    </row>
    <row r="8" spans="1:10" ht="24.75" customHeight="1" thickBot="1" x14ac:dyDescent="0.3">
      <c r="A8" s="75"/>
      <c r="B8" s="30" t="s">
        <v>240</v>
      </c>
      <c r="C8" s="31" t="s">
        <v>212</v>
      </c>
      <c r="D8" s="75"/>
    </row>
    <row r="9" spans="1:10" ht="24.75" customHeight="1" x14ac:dyDescent="0.2">
      <c r="A9" s="75"/>
      <c r="B9" s="76" t="s">
        <v>367</v>
      </c>
      <c r="C9" s="77">
        <f>+'NOTA 3-C-CONST '!F44</f>
        <v>14619705.92</v>
      </c>
      <c r="D9" s="75"/>
    </row>
    <row r="10" spans="1:10" ht="24.75" customHeight="1" x14ac:dyDescent="0.2">
      <c r="A10" s="75"/>
      <c r="B10" s="78" t="s">
        <v>535</v>
      </c>
      <c r="C10" s="79">
        <f>+'NOTA 3-ANTIC COMP Y OTRAS'!E28</f>
        <v>27338078.050000001</v>
      </c>
      <c r="D10" s="75"/>
    </row>
    <row r="11" spans="1:10" ht="24.75" customHeight="1" x14ac:dyDescent="0.2">
      <c r="A11" s="75"/>
      <c r="B11" s="78" t="s">
        <v>573</v>
      </c>
      <c r="C11" s="79">
        <f>+Intereses!C14</f>
        <v>0</v>
      </c>
      <c r="D11" s="75"/>
    </row>
    <row r="12" spans="1:10" ht="24.75" customHeight="1" x14ac:dyDescent="0.2">
      <c r="A12" s="75"/>
      <c r="B12" s="78" t="s">
        <v>408</v>
      </c>
      <c r="C12" s="79">
        <f>+'Nota 3 CxC Emplead'!I13</f>
        <v>108452</v>
      </c>
      <c r="D12" s="75"/>
    </row>
    <row r="13" spans="1:10" ht="24.75" customHeight="1" x14ac:dyDescent="0.35">
      <c r="A13" s="75"/>
      <c r="B13" s="78" t="s">
        <v>536</v>
      </c>
      <c r="C13" s="80">
        <f>+'NOTA 3-C X C'!F11</f>
        <v>265324.74</v>
      </c>
      <c r="D13" s="75"/>
    </row>
    <row r="14" spans="1:10" ht="24.75" customHeight="1" x14ac:dyDescent="0.4">
      <c r="A14" s="75"/>
      <c r="B14" s="81" t="s">
        <v>225</v>
      </c>
      <c r="C14" s="94">
        <f>SUM(C9:C13)</f>
        <v>42331560.710000001</v>
      </c>
      <c r="D14" s="75"/>
    </row>
    <row r="15" spans="1:10" ht="24.75" customHeight="1" thickBot="1" x14ac:dyDescent="0.25">
      <c r="A15" s="75"/>
      <c r="B15" s="82"/>
      <c r="C15" s="83"/>
      <c r="D15" s="75"/>
    </row>
    <row r="16" spans="1:10" ht="24.75" customHeight="1" x14ac:dyDescent="0.2">
      <c r="C16" s="6"/>
    </row>
    <row r="17" spans="3:3" ht="24.75" customHeight="1" x14ac:dyDescent="0.25">
      <c r="C17" s="209"/>
    </row>
    <row r="18" spans="3:3" ht="24.75" customHeight="1" x14ac:dyDescent="0.2">
      <c r="C18" s="6"/>
    </row>
  </sheetData>
  <mergeCells count="4">
    <mergeCell ref="B3:C3"/>
    <mergeCell ref="B4:C4"/>
    <mergeCell ref="B6:C6"/>
    <mergeCell ref="B5:C5"/>
  </mergeCells>
  <pageMargins left="0.7" right="0.7" top="0.75" bottom="0.75" header="0.3" footer="0.3"/>
  <pageSetup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50"/>
  <sheetViews>
    <sheetView view="pageBreakPreview" topLeftCell="A22" zoomScale="80" zoomScaleNormal="100" zoomScaleSheetLayoutView="80" workbookViewId="0">
      <selection activeCell="F46" sqref="A1:F46"/>
    </sheetView>
  </sheetViews>
  <sheetFormatPr baseColWidth="10" defaultColWidth="9.140625" defaultRowHeight="15" x14ac:dyDescent="0.2"/>
  <cols>
    <col min="1" max="1" width="7.5703125" style="1" bestFit="1" customWidth="1"/>
    <col min="2" max="2" width="46.7109375" style="1" customWidth="1"/>
    <col min="3" max="3" width="68.85546875" style="1" customWidth="1"/>
    <col min="4" max="4" width="17" style="2" customWidth="1"/>
    <col min="5" max="5" width="17.42578125" style="2" bestFit="1" customWidth="1"/>
    <col min="6" max="6" width="17.42578125" style="2" customWidth="1"/>
    <col min="7" max="7" width="12.5703125" style="2" customWidth="1"/>
    <col min="8" max="8" width="13.140625" style="1" customWidth="1"/>
    <col min="9" max="9" width="16.85546875" style="1" bestFit="1" customWidth="1"/>
    <col min="10" max="10" width="9.85546875" style="1" bestFit="1" customWidth="1"/>
    <col min="11" max="16384" width="9.140625" style="1"/>
  </cols>
  <sheetData>
    <row r="1" spans="2:8" ht="24.75" customHeight="1" x14ac:dyDescent="0.25">
      <c r="B1" s="398"/>
      <c r="C1" s="398"/>
      <c r="D1" s="398"/>
      <c r="E1" s="398"/>
      <c r="F1" s="398"/>
    </row>
    <row r="2" spans="2:8" ht="24.75" customHeight="1" x14ac:dyDescent="0.25">
      <c r="B2" s="9"/>
      <c r="C2" s="9"/>
      <c r="D2" s="9"/>
      <c r="E2" s="9"/>
      <c r="F2" s="9"/>
    </row>
    <row r="3" spans="2:8" ht="24.75" customHeight="1" x14ac:dyDescent="0.25">
      <c r="B3" s="398" t="s">
        <v>233</v>
      </c>
      <c r="C3" s="398"/>
      <c r="D3" s="398"/>
      <c r="E3" s="398"/>
      <c r="F3" s="398"/>
    </row>
    <row r="4" spans="2:8" ht="24.75" customHeight="1" x14ac:dyDescent="0.25">
      <c r="B4" s="398" t="s">
        <v>227</v>
      </c>
      <c r="C4" s="398"/>
      <c r="D4" s="398"/>
      <c r="E4" s="398"/>
      <c r="F4" s="398"/>
    </row>
    <row r="5" spans="2:8" ht="24.75" customHeight="1" x14ac:dyDescent="0.25">
      <c r="B5" s="398" t="s">
        <v>234</v>
      </c>
      <c r="C5" s="398"/>
      <c r="D5" s="398"/>
      <c r="E5" s="398"/>
      <c r="F5" s="398"/>
    </row>
    <row r="6" spans="2:8" ht="24.75" customHeight="1" x14ac:dyDescent="0.25">
      <c r="B6" s="399">
        <v>45169</v>
      </c>
      <c r="C6" s="399"/>
      <c r="D6" s="399"/>
      <c r="E6" s="399"/>
      <c r="F6" s="399"/>
    </row>
    <row r="7" spans="2:8" ht="24.75" customHeight="1" thickBot="1" x14ac:dyDescent="0.25">
      <c r="D7" s="1"/>
      <c r="E7" s="1"/>
      <c r="F7" s="1"/>
    </row>
    <row r="8" spans="2:8" ht="24.75" customHeight="1" x14ac:dyDescent="0.25">
      <c r="B8" s="402" t="s">
        <v>240</v>
      </c>
      <c r="C8" s="403"/>
      <c r="D8" s="91" t="s">
        <v>63</v>
      </c>
      <c r="E8" s="91" t="s">
        <v>65</v>
      </c>
      <c r="F8" s="62" t="s">
        <v>63</v>
      </c>
      <c r="G8" s="1"/>
    </row>
    <row r="9" spans="2:8" ht="24.75" customHeight="1" thickBot="1" x14ac:dyDescent="0.3">
      <c r="B9" s="404"/>
      <c r="C9" s="405"/>
      <c r="D9" s="92" t="s">
        <v>64</v>
      </c>
      <c r="E9" s="92" t="s">
        <v>66</v>
      </c>
      <c r="F9" s="93" t="s">
        <v>201</v>
      </c>
      <c r="G9" s="1"/>
    </row>
    <row r="10" spans="2:8" ht="39.6" customHeight="1" x14ac:dyDescent="0.2">
      <c r="B10" s="400" t="s">
        <v>67</v>
      </c>
      <c r="C10" s="90" t="s">
        <v>13</v>
      </c>
      <c r="D10" s="29">
        <v>617492.96</v>
      </c>
      <c r="E10" s="29"/>
      <c r="F10" s="29">
        <f t="shared" ref="F10:F23" si="0">D10-E10</f>
        <v>617492.96</v>
      </c>
      <c r="G10" s="1"/>
    </row>
    <row r="11" spans="2:8" ht="39.6" customHeight="1" x14ac:dyDescent="0.2">
      <c r="B11" s="401"/>
      <c r="C11" s="84" t="s">
        <v>14</v>
      </c>
      <c r="D11" s="13">
        <v>4476.88</v>
      </c>
      <c r="E11" s="13"/>
      <c r="F11" s="13">
        <f t="shared" si="0"/>
        <v>4476.88</v>
      </c>
      <c r="G11" s="1"/>
    </row>
    <row r="12" spans="2:8" ht="39.6" customHeight="1" x14ac:dyDescent="0.25">
      <c r="B12" s="85" t="s">
        <v>15</v>
      </c>
      <c r="C12" s="84" t="s">
        <v>448</v>
      </c>
      <c r="D12" s="13">
        <v>30681.330000000016</v>
      </c>
      <c r="E12" s="13">
        <v>30681.3</v>
      </c>
      <c r="F12" s="13">
        <f t="shared" si="0"/>
        <v>3.0000000017025741E-2</v>
      </c>
      <c r="G12" s="1"/>
      <c r="H12" s="2">
        <v>0.03</v>
      </c>
    </row>
    <row r="13" spans="2:8" ht="39.6" customHeight="1" x14ac:dyDescent="0.25">
      <c r="B13" s="85" t="s">
        <v>16</v>
      </c>
      <c r="C13" s="84" t="s">
        <v>449</v>
      </c>
      <c r="D13" s="13">
        <v>97704.98</v>
      </c>
      <c r="E13" s="13">
        <v>97704.98</v>
      </c>
      <c r="F13" s="13">
        <f t="shared" si="0"/>
        <v>0</v>
      </c>
      <c r="G13" s="1"/>
      <c r="H13" s="2"/>
    </row>
    <row r="14" spans="2:8" ht="39.6" customHeight="1" x14ac:dyDescent="0.25">
      <c r="B14" s="85" t="s">
        <v>17</v>
      </c>
      <c r="C14" s="84" t="s">
        <v>450</v>
      </c>
      <c r="D14" s="13">
        <v>844416.04</v>
      </c>
      <c r="E14" s="13">
        <f>171372.55+174419.3+73837.5</f>
        <v>419629.35</v>
      </c>
      <c r="F14" s="13">
        <f t="shared" si="0"/>
        <v>424786.69000000006</v>
      </c>
      <c r="G14" s="1"/>
      <c r="H14" s="7"/>
    </row>
    <row r="15" spans="2:8" ht="39.6" customHeight="1" x14ac:dyDescent="0.25">
      <c r="B15" s="85" t="s">
        <v>18</v>
      </c>
      <c r="C15" s="84" t="s">
        <v>451</v>
      </c>
      <c r="D15" s="13">
        <v>743275.72</v>
      </c>
      <c r="E15" s="13"/>
      <c r="F15" s="13">
        <f t="shared" si="0"/>
        <v>743275.72</v>
      </c>
      <c r="G15" s="1"/>
    </row>
    <row r="16" spans="2:8" ht="39.6" customHeight="1" x14ac:dyDescent="0.25">
      <c r="B16" s="85" t="s">
        <v>19</v>
      </c>
      <c r="C16" s="84" t="s">
        <v>452</v>
      </c>
      <c r="D16" s="13">
        <v>283280.13999999996</v>
      </c>
      <c r="E16" s="13">
        <f>118556+105665.28</f>
        <v>224221.28</v>
      </c>
      <c r="F16" s="13">
        <f t="shared" si="0"/>
        <v>59058.859999999957</v>
      </c>
      <c r="G16" s="1"/>
      <c r="H16" s="7">
        <v>105665.28</v>
      </c>
    </row>
    <row r="17" spans="2:9" ht="39.6" customHeight="1" x14ac:dyDescent="0.2">
      <c r="B17" s="86" t="s">
        <v>20</v>
      </c>
      <c r="C17" s="84" t="s">
        <v>453</v>
      </c>
      <c r="D17" s="13">
        <v>53522.310000000012</v>
      </c>
      <c r="E17" s="13">
        <v>53522.29</v>
      </c>
      <c r="F17" s="13">
        <f t="shared" si="0"/>
        <v>2.0000000011350494E-2</v>
      </c>
    </row>
    <row r="18" spans="2:9" ht="39.6" customHeight="1" x14ac:dyDescent="0.25">
      <c r="B18" s="86" t="s">
        <v>21</v>
      </c>
      <c r="C18" s="84" t="s">
        <v>454</v>
      </c>
      <c r="D18" s="13">
        <v>27945.799999999988</v>
      </c>
      <c r="E18" s="13"/>
      <c r="F18" s="13">
        <f t="shared" si="0"/>
        <v>27945.799999999988</v>
      </c>
    </row>
    <row r="19" spans="2:9" ht="39.6" customHeight="1" x14ac:dyDescent="0.25">
      <c r="B19" s="85" t="s">
        <v>22</v>
      </c>
      <c r="C19" s="84" t="s">
        <v>455</v>
      </c>
      <c r="D19" s="13">
        <v>25017.630000000005</v>
      </c>
      <c r="E19" s="13"/>
      <c r="F19" s="13">
        <f t="shared" si="0"/>
        <v>25017.630000000005</v>
      </c>
    </row>
    <row r="20" spans="2:9" ht="39.6" customHeight="1" x14ac:dyDescent="0.2">
      <c r="B20" s="86" t="s">
        <v>23</v>
      </c>
      <c r="C20" s="84" t="s">
        <v>24</v>
      </c>
      <c r="D20" s="13">
        <v>601501.59</v>
      </c>
      <c r="E20" s="13"/>
      <c r="F20" s="13">
        <f t="shared" si="0"/>
        <v>601501.59</v>
      </c>
    </row>
    <row r="21" spans="2:9" ht="39.6" customHeight="1" x14ac:dyDescent="0.2">
      <c r="B21" s="85" t="s">
        <v>25</v>
      </c>
      <c r="C21" s="84" t="s">
        <v>26</v>
      </c>
      <c r="D21" s="13">
        <v>608783.95000000007</v>
      </c>
      <c r="E21" s="13"/>
      <c r="F21" s="13">
        <f t="shared" si="0"/>
        <v>608783.95000000007</v>
      </c>
    </row>
    <row r="22" spans="2:9" ht="39.6" customHeight="1" x14ac:dyDescent="0.2">
      <c r="B22" s="85" t="s">
        <v>27</v>
      </c>
      <c r="C22" s="84" t="s">
        <v>456</v>
      </c>
      <c r="D22" s="13">
        <v>690171.59</v>
      </c>
      <c r="E22" s="13">
        <f>129065.66+151337.51+34066.83+375701.6</f>
        <v>690171.60000000009</v>
      </c>
      <c r="F22" s="13">
        <f t="shared" si="0"/>
        <v>-1.0000000125728548E-2</v>
      </c>
      <c r="H22" s="2">
        <v>-0.01</v>
      </c>
    </row>
    <row r="23" spans="2:9" ht="39.6" customHeight="1" x14ac:dyDescent="0.2">
      <c r="B23" s="85" t="s">
        <v>28</v>
      </c>
      <c r="C23" s="84" t="s">
        <v>457</v>
      </c>
      <c r="D23" s="13">
        <v>523901.76999999996</v>
      </c>
      <c r="E23" s="13"/>
      <c r="F23" s="13">
        <f t="shared" si="0"/>
        <v>523901.76999999996</v>
      </c>
    </row>
    <row r="24" spans="2:9" ht="39.6" customHeight="1" x14ac:dyDescent="0.2">
      <c r="B24" s="85" t="s">
        <v>29</v>
      </c>
      <c r="C24" s="84" t="s">
        <v>30</v>
      </c>
      <c r="D24" s="13">
        <v>814702.41</v>
      </c>
      <c r="E24" s="13">
        <v>60932.32</v>
      </c>
      <c r="F24" s="13">
        <f t="shared" ref="F24:F43" si="1">D24-E24</f>
        <v>753770.09000000008</v>
      </c>
    </row>
    <row r="25" spans="2:9" ht="39.6" customHeight="1" x14ac:dyDescent="0.2">
      <c r="B25" s="85" t="s">
        <v>31</v>
      </c>
      <c r="C25" s="84" t="s">
        <v>32</v>
      </c>
      <c r="D25" s="13">
        <v>104068.5</v>
      </c>
      <c r="E25" s="13">
        <v>91558.02</v>
      </c>
      <c r="F25" s="13">
        <f t="shared" si="1"/>
        <v>12510.479999999996</v>
      </c>
    </row>
    <row r="26" spans="2:9" ht="39.6" customHeight="1" x14ac:dyDescent="0.2">
      <c r="B26" s="86" t="s">
        <v>33</v>
      </c>
      <c r="C26" s="84" t="s">
        <v>459</v>
      </c>
      <c r="D26" s="13">
        <v>5506.4100000000108</v>
      </c>
      <c r="E26" s="13"/>
      <c r="F26" s="13">
        <f t="shared" si="1"/>
        <v>5506.4100000000108</v>
      </c>
    </row>
    <row r="27" spans="2:9" ht="39.6" customHeight="1" x14ac:dyDescent="0.2">
      <c r="B27" s="85" t="s">
        <v>34</v>
      </c>
      <c r="C27" s="84" t="s">
        <v>35</v>
      </c>
      <c r="D27" s="13">
        <v>499058.10999999993</v>
      </c>
      <c r="E27" s="13"/>
      <c r="F27" s="13">
        <f t="shared" si="1"/>
        <v>499058.10999999993</v>
      </c>
    </row>
    <row r="28" spans="2:9" ht="39.6" customHeight="1" x14ac:dyDescent="0.25">
      <c r="B28" s="85" t="s">
        <v>36</v>
      </c>
      <c r="C28" s="84" t="s">
        <v>37</v>
      </c>
      <c r="D28" s="13">
        <v>639569.22</v>
      </c>
      <c r="E28" s="13">
        <v>46161.86</v>
      </c>
      <c r="F28" s="13">
        <f t="shared" si="1"/>
        <v>593407.36</v>
      </c>
      <c r="H28" s="87"/>
      <c r="I28" s="88"/>
    </row>
    <row r="29" spans="2:9" ht="39.6" customHeight="1" x14ac:dyDescent="0.2">
      <c r="B29" s="85" t="s">
        <v>38</v>
      </c>
      <c r="C29" s="84" t="s">
        <v>39</v>
      </c>
      <c r="D29" s="13">
        <v>174584.27999999997</v>
      </c>
      <c r="E29" s="13">
        <v>67714.240000000005</v>
      </c>
      <c r="F29" s="13">
        <f t="shared" si="1"/>
        <v>106870.03999999996</v>
      </c>
    </row>
    <row r="30" spans="2:9" ht="39.6" customHeight="1" x14ac:dyDescent="0.2">
      <c r="B30" s="85" t="s">
        <v>40</v>
      </c>
      <c r="C30" s="84" t="s">
        <v>41</v>
      </c>
      <c r="D30" s="13">
        <v>851941.5199999999</v>
      </c>
      <c r="E30" s="13">
        <f>67011.97+323371.84</f>
        <v>390383.81000000006</v>
      </c>
      <c r="F30" s="13">
        <f t="shared" si="1"/>
        <v>461557.70999999985</v>
      </c>
      <c r="H30" s="7"/>
    </row>
    <row r="31" spans="2:9" ht="39.6" customHeight="1" x14ac:dyDescent="0.2">
      <c r="B31" s="85" t="s">
        <v>42</v>
      </c>
      <c r="C31" s="84" t="s">
        <v>43</v>
      </c>
      <c r="D31" s="13">
        <v>496977.96</v>
      </c>
      <c r="E31" s="13"/>
      <c r="F31" s="13">
        <f t="shared" si="1"/>
        <v>496977.96</v>
      </c>
      <c r="H31" s="7"/>
    </row>
    <row r="32" spans="2:9" ht="39.6" customHeight="1" x14ac:dyDescent="0.2">
      <c r="B32" s="85" t="s">
        <v>44</v>
      </c>
      <c r="C32" s="84" t="s">
        <v>45</v>
      </c>
      <c r="D32" s="13">
        <f>804969.47</f>
        <v>804969.47</v>
      </c>
      <c r="E32" s="13">
        <f>57334.96+104564.67+141427.4+89954.65+86205.14</f>
        <v>479486.82000000007</v>
      </c>
      <c r="F32" s="13">
        <f t="shared" si="1"/>
        <v>325482.64999999991</v>
      </c>
      <c r="H32" s="7"/>
    </row>
    <row r="33" spans="2:8" ht="39.6" customHeight="1" x14ac:dyDescent="0.2">
      <c r="B33" s="85" t="s">
        <v>46</v>
      </c>
      <c r="C33" s="84" t="s">
        <v>47</v>
      </c>
      <c r="D33" s="13">
        <v>537913.55000000005</v>
      </c>
      <c r="E33" s="13">
        <f>120419.27+411350.52</f>
        <v>531769.79</v>
      </c>
      <c r="F33" s="13">
        <f t="shared" si="1"/>
        <v>6143.7600000000093</v>
      </c>
      <c r="H33" s="7"/>
    </row>
    <row r="34" spans="2:8" ht="39.6" customHeight="1" x14ac:dyDescent="0.2">
      <c r="B34" s="86" t="s">
        <v>48</v>
      </c>
      <c r="C34" s="84" t="s">
        <v>49</v>
      </c>
      <c r="D34" s="13">
        <v>1806434.1400000001</v>
      </c>
      <c r="E34" s="13">
        <v>307518.98</v>
      </c>
      <c r="F34" s="13">
        <f t="shared" si="1"/>
        <v>1498915.1600000001</v>
      </c>
      <c r="H34" s="7"/>
    </row>
    <row r="35" spans="2:8" ht="45.75" customHeight="1" x14ac:dyDescent="0.2">
      <c r="B35" s="85" t="s">
        <v>50</v>
      </c>
      <c r="C35" s="84" t="s">
        <v>51</v>
      </c>
      <c r="D35" s="13">
        <v>811013.05000000016</v>
      </c>
      <c r="E35" s="13">
        <f>46165.68+60453.88+61520.1</f>
        <v>168139.66</v>
      </c>
      <c r="F35" s="13">
        <f t="shared" si="1"/>
        <v>642873.39000000013</v>
      </c>
      <c r="H35" s="6">
        <v>61520.1</v>
      </c>
    </row>
    <row r="36" spans="2:8" ht="39.6" customHeight="1" x14ac:dyDescent="0.2">
      <c r="B36" s="86" t="s">
        <v>52</v>
      </c>
      <c r="C36" s="84" t="s">
        <v>53</v>
      </c>
      <c r="D36" s="13">
        <v>1412912.5599999998</v>
      </c>
      <c r="E36" s="13">
        <v>326569.62</v>
      </c>
      <c r="F36" s="13">
        <f t="shared" si="1"/>
        <v>1086342.94</v>
      </c>
    </row>
    <row r="37" spans="2:8" ht="39.6" customHeight="1" x14ac:dyDescent="0.2">
      <c r="B37" s="85" t="s">
        <v>54</v>
      </c>
      <c r="C37" s="84" t="s">
        <v>55</v>
      </c>
      <c r="D37" s="13">
        <v>1762344.18</v>
      </c>
      <c r="E37" s="13">
        <f>235574.08+226712.69</f>
        <v>462286.77</v>
      </c>
      <c r="F37" s="13">
        <f t="shared" si="1"/>
        <v>1300057.4099999999</v>
      </c>
      <c r="H37" s="7">
        <v>226712.69</v>
      </c>
    </row>
    <row r="38" spans="2:8" ht="39.6" customHeight="1" x14ac:dyDescent="0.2">
      <c r="B38" s="86" t="s">
        <v>56</v>
      </c>
      <c r="C38" s="84" t="s">
        <v>57</v>
      </c>
      <c r="D38" s="13">
        <f>1387421.13</f>
        <v>1387421.13</v>
      </c>
      <c r="E38" s="13">
        <f>63338.9+729880.39+35506.43+340505.29</f>
        <v>1169231.01</v>
      </c>
      <c r="F38" s="13">
        <f t="shared" si="1"/>
        <v>218190.11999999988</v>
      </c>
      <c r="H38" s="7"/>
    </row>
    <row r="39" spans="2:8" ht="39.6" customHeight="1" x14ac:dyDescent="0.2">
      <c r="B39" s="85" t="s">
        <v>58</v>
      </c>
      <c r="C39" s="84" t="s">
        <v>59</v>
      </c>
      <c r="D39" s="13">
        <v>942080.79</v>
      </c>
      <c r="E39" s="13">
        <f>60579.28+105283.76</f>
        <v>165863.03999999998</v>
      </c>
      <c r="F39" s="13">
        <f t="shared" si="1"/>
        <v>776217.75</v>
      </c>
    </row>
    <row r="40" spans="2:8" ht="39.6" customHeight="1" x14ac:dyDescent="0.2">
      <c r="B40" s="86" t="s">
        <v>33</v>
      </c>
      <c r="C40" s="84" t="s">
        <v>60</v>
      </c>
      <c r="D40" s="13">
        <v>2257548</v>
      </c>
      <c r="E40" s="13">
        <f>347104.04+301624.06+330236.89+273097.18+150481.58</f>
        <v>1402543.75</v>
      </c>
      <c r="F40" s="13">
        <f t="shared" si="1"/>
        <v>855004.25</v>
      </c>
      <c r="H40" s="7"/>
    </row>
    <row r="41" spans="2:8" ht="39.6" customHeight="1" x14ac:dyDescent="0.2">
      <c r="B41" s="85" t="s">
        <v>33</v>
      </c>
      <c r="C41" s="84" t="s">
        <v>61</v>
      </c>
      <c r="D41" s="13">
        <v>1640362.07</v>
      </c>
      <c r="E41" s="13">
        <f>564682.61+149772.01+168279.13</f>
        <v>882733.75</v>
      </c>
      <c r="F41" s="13">
        <f t="shared" si="1"/>
        <v>757628.32000000007</v>
      </c>
      <c r="H41" s="7"/>
    </row>
    <row r="42" spans="2:8" ht="49.5" customHeight="1" x14ac:dyDescent="0.2">
      <c r="B42" s="85" t="s">
        <v>339</v>
      </c>
      <c r="C42" s="84" t="s">
        <v>340</v>
      </c>
      <c r="D42" s="13">
        <v>485158.58</v>
      </c>
      <c r="E42" s="13"/>
      <c r="F42" s="13">
        <f t="shared" si="1"/>
        <v>485158.58</v>
      </c>
    </row>
    <row r="43" spans="2:8" ht="39.6" customHeight="1" x14ac:dyDescent="0.2">
      <c r="B43" s="86" t="s">
        <v>56</v>
      </c>
      <c r="C43" s="84" t="s">
        <v>62</v>
      </c>
      <c r="D43" s="13">
        <v>859371.14999999991</v>
      </c>
      <c r="E43" s="13">
        <f>471284.48+286295.13</f>
        <v>757579.61</v>
      </c>
      <c r="F43" s="13">
        <f t="shared" si="1"/>
        <v>101791.53999999992</v>
      </c>
    </row>
    <row r="44" spans="2:8" ht="29.25" customHeight="1" x14ac:dyDescent="0.4">
      <c r="B44" s="25"/>
      <c r="C44" s="25"/>
      <c r="D44" s="27">
        <f>SUM(D10:D43)</f>
        <v>23446109.77</v>
      </c>
      <c r="E44" s="27">
        <f>SUM(E10:E43)</f>
        <v>8826403.8500000015</v>
      </c>
      <c r="F44" s="27">
        <f>SUM(F10:F43)</f>
        <v>14619705.92</v>
      </c>
    </row>
    <row r="45" spans="2:8" x14ac:dyDescent="0.2">
      <c r="B45" s="25"/>
      <c r="C45" s="25"/>
      <c r="D45" s="13"/>
      <c r="E45" s="13"/>
      <c r="F45" s="13"/>
    </row>
    <row r="48" spans="2:8" ht="15.75" x14ac:dyDescent="0.25">
      <c r="C48" s="89" t="s">
        <v>288</v>
      </c>
      <c r="F48" s="267"/>
    </row>
    <row r="50" spans="5:5" x14ac:dyDescent="0.2">
      <c r="E50" s="18"/>
    </row>
  </sheetData>
  <mergeCells count="7">
    <mergeCell ref="B5:F5"/>
    <mergeCell ref="B10:B11"/>
    <mergeCell ref="B1:F1"/>
    <mergeCell ref="B3:F3"/>
    <mergeCell ref="B8:C9"/>
    <mergeCell ref="B4:F4"/>
    <mergeCell ref="B6:F6"/>
  </mergeCells>
  <phoneticPr fontId="3" type="noConversion"/>
  <pageMargins left="0.74803149606299213" right="0.74803149606299213" top="0.98425196850393704" bottom="0.98425196850393704" header="0" footer="0"/>
  <pageSetup scale="52" fitToHeight="3" orientation="portrait" horizont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2" ma:contentTypeDescription="Create a new document." ma:contentTypeScope="" ma:versionID="c48df300250e4cb6eb856829255cd81a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7b3a4c31fc52977c2692e4136b31ab2b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005D9F7-6E4B-4C4F-8DC4-C7DF3D5B71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18AFEAD-B07C-4143-B1DB-C84A104FD8AF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29C60E9-23AB-43E9-A4AB-19167BA2FCA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1187603-E1DF-40ED-A8CE-010332182A7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16</vt:i4>
      </vt:variant>
    </vt:vector>
  </HeadingPairs>
  <TitlesOfParts>
    <vt:vector size="43" baseType="lpstr">
      <vt:lpstr>Estado Situacion</vt:lpstr>
      <vt:lpstr>Estado Resultado</vt:lpstr>
      <vt:lpstr>A-SITUACION (2)</vt:lpstr>
      <vt:lpstr>NOTA 11-CAPITAL</vt:lpstr>
      <vt:lpstr>A-RESULTADO (2)</vt:lpstr>
      <vt:lpstr>Cédula Nota 1</vt:lpstr>
      <vt:lpstr>Cédula Nota 2 </vt:lpstr>
      <vt:lpstr>Nota 3 Resumen</vt:lpstr>
      <vt:lpstr>NOTA 3-C-CONST </vt:lpstr>
      <vt:lpstr>NOTA 3-ANTIC COMP Y OTRAS</vt:lpstr>
      <vt:lpstr>Intereses</vt:lpstr>
      <vt:lpstr>Nota 3 CxC Emplead</vt:lpstr>
      <vt:lpstr>NOTA 3-C X C</vt:lpstr>
      <vt:lpstr>NOTA 4  INVENTARIO</vt:lpstr>
      <vt:lpstr>NOTA 5  GPA</vt:lpstr>
      <vt:lpstr>NOTA 5-SEG PAG X ANT</vt:lpstr>
      <vt:lpstr>NOTA 5 - LIC MS 365 AMORTIZ</vt:lpstr>
      <vt:lpstr>NOTA 7-ACTIVOS FIJOS</vt:lpstr>
      <vt:lpstr>NOTA 8-CEDULAS CxP </vt:lpstr>
      <vt:lpstr>NOTA 9-CEDULAS RETENCIO X PAGAR</vt:lpstr>
      <vt:lpstr>NOTA 10-OTRAS CXP</vt:lpstr>
      <vt:lpstr>BONIFICACION</vt:lpstr>
      <vt:lpstr>REGALIA</vt:lpstr>
      <vt:lpstr>VACACIONES</vt:lpstr>
      <vt:lpstr>NOTA 12-DIVIDENDOS</vt:lpstr>
      <vt:lpstr>Hoja5</vt:lpstr>
      <vt:lpstr>Hoja2</vt:lpstr>
      <vt:lpstr>'A-RESULTADO (2)'!Área_de_impresión</vt:lpstr>
      <vt:lpstr>'A-SITUACION (2)'!Área_de_impresión</vt:lpstr>
      <vt:lpstr>'Cédula Nota 1'!Área_de_impresión</vt:lpstr>
      <vt:lpstr>'Cédula Nota 2 '!Área_de_impresión</vt:lpstr>
      <vt:lpstr>'Estado Resultado'!Área_de_impresión</vt:lpstr>
      <vt:lpstr>'Estado Situacion'!Área_de_impresión</vt:lpstr>
      <vt:lpstr>'NOTA 11-CAPITAL'!Área_de_impresión</vt:lpstr>
      <vt:lpstr>'NOTA 3-ANTIC COMP Y OTRAS'!Área_de_impresión</vt:lpstr>
      <vt:lpstr>'NOTA 3-C-CONST '!Área_de_impresión</vt:lpstr>
      <vt:lpstr>'NOTA 4  INVENTARIO'!Área_de_impresión</vt:lpstr>
      <vt:lpstr>'NOTA 5 - LIC MS 365 AMORTIZ'!Área_de_impresión</vt:lpstr>
      <vt:lpstr>'NOTA 8-CEDULAS CxP '!Área_de_impresión</vt:lpstr>
      <vt:lpstr>'NOTA 9-CEDULAS RETENCIO X PAGAR'!Área_de_impresión</vt:lpstr>
      <vt:lpstr>'A-RESULTADO (2)'!Títulos_a_imprimir</vt:lpstr>
      <vt:lpstr>'A-SITUACION (2)'!Títulos_a_imprimir</vt:lpstr>
      <vt:lpstr>'NOTA 3-C-CONST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Ulises Rosa</dc:creator>
  <cp:lastModifiedBy>Victor Hilario</cp:lastModifiedBy>
  <cp:lastPrinted>2023-09-18T20:17:51Z</cp:lastPrinted>
  <dcterms:created xsi:type="dcterms:W3CDTF">2008-09-03T15:34:54Z</dcterms:created>
  <dcterms:modified xsi:type="dcterms:W3CDTF">2023-09-19T21:15:18Z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Katty Suero</vt:lpwstr>
  </property>
  <property fmtid="{D5CDD505-2E9C-101B-9397-08002B2CF9AE}" pid="3" name="Order">
    <vt:lpwstr>1188400.00000000</vt:lpwstr>
  </property>
  <property fmtid="{D5CDD505-2E9C-101B-9397-08002B2CF9AE}" pid="4" name="display_urn:schemas-microsoft-com:office:office#Author">
    <vt:lpwstr>Katty Suero</vt:lpwstr>
  </property>
  <property fmtid="{D5CDD505-2E9C-101B-9397-08002B2CF9AE}" pid="5" name="ContentTypeId">
    <vt:lpwstr>0x0101004FD84E918004A044BCE378A5E7129897</vt:lpwstr>
  </property>
</Properties>
</file>