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0" yWindow="0" windowWidth="28800" windowHeight="12300" tabRatio="682" activeTab="1"/>
  </bookViews>
  <sheets>
    <sheet name="Estado Situacion" sheetId="2" r:id="rId1"/>
    <sheet name="Estado Resultado" sheetId="1" r:id="rId2"/>
    <sheet name="A-SITUACION (2)" sheetId="19" state="hidden" r:id="rId3"/>
    <sheet name="NOTA 11-CAPITAL" sheetId="16" state="hidden" r:id="rId4"/>
    <sheet name="A-RESULTADO (2)" sheetId="34" state="hidden" r:id="rId5"/>
    <sheet name="Cédula Nota 1" sheetId="31" state="hidden" r:id="rId6"/>
    <sheet name="Cédula Nota 2 " sheetId="26" state="hidden" r:id="rId7"/>
    <sheet name="Nota 3 Resumen" sheetId="40" state="hidden" r:id="rId8"/>
    <sheet name="NOTA 3-C-CONST " sheetId="7" state="hidden" r:id="rId9"/>
    <sheet name="NOTA 3-ANTIC COMP Y OTRAS" sheetId="13" state="hidden" r:id="rId10"/>
    <sheet name="NOTA 3-Intereses" sheetId="45" state="hidden" r:id="rId11"/>
    <sheet name="Nota 3 CxC Emplead" sheetId="41" state="hidden" r:id="rId12"/>
    <sheet name="NOTA 3-C X C" sheetId="22" state="hidden" r:id="rId13"/>
    <sheet name="NOTA 4  INVENTARIO" sheetId="37" state="hidden" r:id="rId14"/>
    <sheet name="NOTA 5  GPA" sheetId="39" state="hidden" r:id="rId15"/>
    <sheet name="NOTA 5-SEG PAG X ANT" sheetId="23" state="hidden" r:id="rId16"/>
    <sheet name="NOTA 5 - LIC MS 365 AMORTIZ" sheetId="38" state="hidden" r:id="rId17"/>
    <sheet name="NOTA 5 LICENCIAS JIRA" sheetId="46" state="hidden" r:id="rId18"/>
    <sheet name="NOTA 5 Licencias Adobe" sheetId="47" state="hidden" r:id="rId19"/>
    <sheet name="NOTA 7-ACTIVOS FIJOS" sheetId="29" state="hidden" r:id="rId20"/>
    <sheet name="NOTA 8-CEDULAS CxP " sheetId="25" state="hidden" r:id="rId21"/>
    <sheet name="NOTA 9-CEDULAS RETENCIO X PAGAR" sheetId="35" state="hidden" r:id="rId22"/>
    <sheet name="NOTA 10-OTRAS CXP" sheetId="30" state="hidden" r:id="rId23"/>
    <sheet name="BONIFICACION" sheetId="42" state="hidden" r:id="rId24"/>
    <sheet name="REGALIA" sheetId="36" state="hidden" r:id="rId25"/>
    <sheet name="VACACIONES" sheetId="44" state="hidden" r:id="rId26"/>
    <sheet name="CxC EMPLEAD" sheetId="43" state="hidden" r:id="rId27"/>
    <sheet name="NOTA 12-DIVIDENDOS" sheetId="32" state="hidden" r:id="rId28"/>
    <sheet name="Hoja5" sheetId="20" state="hidden" r:id="rId29"/>
  </sheets>
  <externalReferences>
    <externalReference r:id="rId30"/>
    <externalReference r:id="rId31"/>
  </externalReferences>
  <definedNames>
    <definedName name="_xlnm.Print_Area" localSheetId="4">'A-RESULTADO (2)'!$A$1:$F$126</definedName>
    <definedName name="_xlnm.Print_Area" localSheetId="2">'A-SITUACION (2)'!$A$1:$F$150</definedName>
    <definedName name="_xlnm.Print_Area" localSheetId="5">'Cédula Nota 1'!$A$1:$E$16</definedName>
    <definedName name="_xlnm.Print_Area" localSheetId="6">'Cédula Nota 2 '!$A$1:$E$20</definedName>
    <definedName name="_xlnm.Print_Area" localSheetId="1">'Estado Resultado'!$A$1:$E$54</definedName>
    <definedName name="_xlnm.Print_Area" localSheetId="0">'Estado Situacion'!$A$1:$E$61</definedName>
    <definedName name="_xlnm.Print_Area" localSheetId="3">'NOTA 11-CAPITAL'!$A$1:$H$28</definedName>
    <definedName name="_xlnm.Print_Area" localSheetId="9">'NOTA 3-ANTIC COMP Y OTRAS'!$B$1:$F$23</definedName>
    <definedName name="_xlnm.Print_Area" localSheetId="8">'NOTA 3-C-CONST '!$A$1:$F$45</definedName>
    <definedName name="_xlnm.Print_Area" localSheetId="13">'NOTA 4  INVENTARIO'!$A$1:$C$26</definedName>
    <definedName name="_xlnm.Print_Area" localSheetId="14">'NOTA 5  GPA'!$A$1:$C$17</definedName>
    <definedName name="_xlnm.Print_Area" localSheetId="16">'NOTA 5 - LIC MS 365 AMORTIZ'!$A$1:$F$43</definedName>
    <definedName name="_xlnm.Print_Area" localSheetId="20">'NOTA 8-CEDULAS CxP '!$A$1:$B$133</definedName>
    <definedName name="_xlnm.Print_Area" localSheetId="21">'NOTA 9-CEDULAS RETENCIO X PAGAR'!$A$1:$B$82</definedName>
    <definedName name="_xlnm.Print_Titles" localSheetId="4">'A-RESULTADO (2)'!$1:$9</definedName>
    <definedName name="_xlnm.Print_Titles" localSheetId="2">'A-SITUACION (2)'!$1:$9</definedName>
    <definedName name="_xlnm.Print_Titles" localSheetId="8">'NOTA 3-C-CONST 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5" l="1"/>
  <c r="D47" i="34"/>
  <c r="D128" i="19" l="1"/>
  <c r="C16" i="37"/>
  <c r="F110" i="34"/>
  <c r="F111" i="34"/>
  <c r="F112" i="34"/>
  <c r="F113" i="34"/>
  <c r="F114" i="34"/>
  <c r="F115" i="34"/>
  <c r="F116" i="34"/>
  <c r="F86" i="34"/>
  <c r="F87" i="34"/>
  <c r="F88" i="34"/>
  <c r="F89" i="34"/>
  <c r="F90" i="34"/>
  <c r="F91" i="34"/>
  <c r="F92" i="34"/>
  <c r="F93" i="34"/>
  <c r="F94" i="34"/>
  <c r="F95" i="34"/>
  <c r="F96" i="34"/>
  <c r="F97" i="34"/>
  <c r="F98" i="34"/>
  <c r="F99" i="34"/>
  <c r="F100" i="34"/>
  <c r="F101" i="34"/>
  <c r="F102" i="34"/>
  <c r="F103" i="34"/>
  <c r="F55" i="34"/>
  <c r="F56" i="34"/>
  <c r="F57" i="34"/>
  <c r="F58" i="34"/>
  <c r="F59" i="34"/>
  <c r="F60" i="34"/>
  <c r="F61" i="34"/>
  <c r="F62" i="34"/>
  <c r="F63" i="34"/>
  <c r="F64" i="34"/>
  <c r="F65" i="34"/>
  <c r="F66" i="34"/>
  <c r="F67" i="34"/>
  <c r="F68" i="34"/>
  <c r="F69" i="34"/>
  <c r="F70" i="34"/>
  <c r="F71" i="34"/>
  <c r="F72" i="34"/>
  <c r="F73" i="34"/>
  <c r="F74" i="34"/>
  <c r="F75" i="34"/>
  <c r="F76" i="34"/>
  <c r="F77" i="34"/>
  <c r="F78" i="34"/>
  <c r="F7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54" i="34"/>
  <c r="D81" i="34"/>
  <c r="F127" i="19"/>
  <c r="F129" i="19"/>
  <c r="F133" i="19"/>
  <c r="F134" i="19"/>
  <c r="F99" i="19"/>
  <c r="F100" i="19"/>
  <c r="F101" i="19"/>
  <c r="F102" i="19"/>
  <c r="F103" i="19"/>
  <c r="F104" i="19"/>
  <c r="F105" i="19"/>
  <c r="F106" i="19"/>
  <c r="F107" i="19"/>
  <c r="F57" i="19"/>
  <c r="F58" i="19"/>
  <c r="F34" i="19"/>
  <c r="F35" i="19"/>
  <c r="F37" i="19"/>
  <c r="F14" i="19"/>
  <c r="F15" i="19"/>
  <c r="F16" i="19"/>
  <c r="F17" i="19"/>
  <c r="F18" i="19"/>
  <c r="E35" i="2"/>
  <c r="D77" i="34" l="1"/>
  <c r="B15" i="35"/>
  <c r="D130" i="19" s="1"/>
  <c r="F130" i="19" s="1"/>
  <c r="D56" i="19"/>
  <c r="D35" i="19"/>
  <c r="D132" i="19"/>
  <c r="F132" i="19" s="1"/>
  <c r="D131" i="19"/>
  <c r="F128" i="19"/>
  <c r="C39" i="30"/>
  <c r="C27" i="39"/>
  <c r="C32" i="39"/>
  <c r="C33" i="39"/>
  <c r="C34" i="39"/>
  <c r="D118" i="19"/>
  <c r="B109" i="25"/>
  <c r="F131" i="19" l="1"/>
  <c r="F118" i="19"/>
  <c r="C35" i="39"/>
  <c r="C37" i="39" s="1"/>
  <c r="C9" i="39"/>
  <c r="F31" i="47"/>
  <c r="F32" i="47" s="1"/>
  <c r="F30" i="47"/>
  <c r="F56" i="23"/>
  <c r="F38" i="23"/>
  <c r="F20" i="23"/>
  <c r="C11" i="40" l="1"/>
  <c r="F47" i="7"/>
  <c r="E13" i="7"/>
  <c r="E15" i="7"/>
  <c r="E21" i="7"/>
  <c r="E27" i="7"/>
  <c r="E33" i="7"/>
  <c r="E34" i="7"/>
  <c r="E36" i="7"/>
  <c r="E39" i="7"/>
  <c r="H44" i="7"/>
  <c r="C23" i="37"/>
  <c r="C25" i="37" s="1"/>
  <c r="B118" i="25" l="1"/>
  <c r="B92" i="25"/>
  <c r="B94" i="25" s="1"/>
  <c r="D110" i="34"/>
  <c r="E81" i="34"/>
  <c r="G88" i="29"/>
  <c r="G81" i="29"/>
  <c r="D46" i="38" l="1"/>
  <c r="D45" i="38"/>
  <c r="D44" i="38"/>
  <c r="E29" i="13" l="1"/>
  <c r="F42" i="7" l="1"/>
  <c r="E37" i="7"/>
  <c r="E28" i="7"/>
  <c r="E31" i="7" l="1"/>
  <c r="E26" i="7"/>
  <c r="I29" i="37"/>
  <c r="F25" i="37"/>
  <c r="O123" i="44" l="1"/>
  <c r="P123" i="44" s="1"/>
  <c r="O119" i="44"/>
  <c r="P119" i="44" s="1"/>
  <c r="H119" i="44"/>
  <c r="O118" i="44"/>
  <c r="P118" i="44" s="1"/>
  <c r="P117" i="44"/>
  <c r="O117" i="44"/>
  <c r="O116" i="44"/>
  <c r="P116" i="44" s="1"/>
  <c r="P115" i="44"/>
  <c r="O115" i="44"/>
  <c r="O113" i="44"/>
  <c r="P113" i="44" s="1"/>
  <c r="H113" i="44"/>
  <c r="O110" i="44"/>
  <c r="P110" i="44" s="1"/>
  <c r="H110" i="44"/>
  <c r="O109" i="44"/>
  <c r="P109" i="44" s="1"/>
  <c r="O105" i="44"/>
  <c r="P105" i="44" s="1"/>
  <c r="H105" i="44"/>
  <c r="O104" i="44"/>
  <c r="P104" i="44" s="1"/>
  <c r="P103" i="44"/>
  <c r="O103" i="44"/>
  <c r="O102" i="44"/>
  <c r="P102" i="44" s="1"/>
  <c r="P101" i="44"/>
  <c r="O101" i="44"/>
  <c r="O100" i="44"/>
  <c r="P100" i="44" s="1"/>
  <c r="P99" i="44"/>
  <c r="O99" i="44"/>
  <c r="O98" i="44"/>
  <c r="P98" i="44" s="1"/>
  <c r="P97" i="44"/>
  <c r="O97" i="44"/>
  <c r="P95" i="44"/>
  <c r="O95" i="44"/>
  <c r="H95" i="44"/>
  <c r="P94" i="44"/>
  <c r="O94" i="44"/>
  <c r="P93" i="44"/>
  <c r="O93" i="44"/>
  <c r="O92" i="44"/>
  <c r="P92" i="44" s="1"/>
  <c r="P91" i="44"/>
  <c r="O91" i="44"/>
  <c r="P90" i="44"/>
  <c r="O90" i="44"/>
  <c r="P89" i="44"/>
  <c r="O89" i="44"/>
  <c r="O88" i="44"/>
  <c r="P88" i="44" s="1"/>
  <c r="P87" i="44"/>
  <c r="O87" i="44"/>
  <c r="P86" i="44"/>
  <c r="O86" i="44"/>
  <c r="P85" i="44"/>
  <c r="O85" i="44"/>
  <c r="P82" i="44"/>
  <c r="O82" i="44"/>
  <c r="H82" i="44"/>
  <c r="P81" i="44"/>
  <c r="O81" i="44"/>
  <c r="O80" i="44"/>
  <c r="P80" i="44" s="1"/>
  <c r="P79" i="44"/>
  <c r="O79" i="44"/>
  <c r="P77" i="44"/>
  <c r="O77" i="44"/>
  <c r="H77" i="44"/>
  <c r="P76" i="44"/>
  <c r="O76" i="44"/>
  <c r="P74" i="44"/>
  <c r="O74" i="44"/>
  <c r="H74" i="44"/>
  <c r="P73" i="44"/>
  <c r="O73" i="44"/>
  <c r="P71" i="44"/>
  <c r="O71" i="44"/>
  <c r="O70" i="44"/>
  <c r="P70" i="44" s="1"/>
  <c r="P66" i="44"/>
  <c r="O66" i="44"/>
  <c r="H66" i="44"/>
  <c r="O64" i="44"/>
  <c r="P64" i="44" s="1"/>
  <c r="H64" i="44"/>
  <c r="O62" i="44"/>
  <c r="P62" i="44" s="1"/>
  <c r="H62" i="44"/>
  <c r="P60" i="44"/>
  <c r="O60" i="44"/>
  <c r="H60" i="44"/>
  <c r="P59" i="44"/>
  <c r="O59" i="44"/>
  <c r="O58" i="44"/>
  <c r="P58" i="44" s="1"/>
  <c r="O57" i="44"/>
  <c r="P57" i="44" s="1"/>
  <c r="P56" i="44"/>
  <c r="O56" i="44"/>
  <c r="O55" i="44"/>
  <c r="P55" i="44" s="1"/>
  <c r="O51" i="44"/>
  <c r="P51" i="44" s="1"/>
  <c r="H51" i="44"/>
  <c r="O50" i="44"/>
  <c r="P50" i="44" s="1"/>
  <c r="O49" i="44"/>
  <c r="P49" i="44" s="1"/>
  <c r="O47" i="44"/>
  <c r="P47" i="44" s="1"/>
  <c r="H47" i="44"/>
  <c r="O46" i="44"/>
  <c r="P46" i="44" s="1"/>
  <c r="P45" i="44"/>
  <c r="O45" i="44"/>
  <c r="O44" i="44"/>
  <c r="P44" i="44" s="1"/>
  <c r="P43" i="44"/>
  <c r="O43" i="44"/>
  <c r="O41" i="44"/>
  <c r="P41" i="44" s="1"/>
  <c r="H41" i="44"/>
  <c r="O39" i="44"/>
  <c r="P39" i="44" s="1"/>
  <c r="K39" i="44"/>
  <c r="H39" i="44"/>
  <c r="O37" i="44"/>
  <c r="P37" i="44" s="1"/>
  <c r="H37" i="44"/>
  <c r="O36" i="44"/>
  <c r="P36" i="44" s="1"/>
  <c r="P35" i="44"/>
  <c r="O35" i="44"/>
  <c r="O34" i="44"/>
  <c r="P34" i="44" s="1"/>
  <c r="P33" i="44"/>
  <c r="O33" i="44"/>
  <c r="O32" i="44"/>
  <c r="P32" i="44" s="1"/>
  <c r="P29" i="44"/>
  <c r="O29" i="44"/>
  <c r="K29" i="44"/>
  <c r="H29" i="44"/>
  <c r="P28" i="44"/>
  <c r="O28" i="44"/>
  <c r="O27" i="44"/>
  <c r="P27" i="44" s="1"/>
  <c r="O26" i="44"/>
  <c r="P26" i="44" s="1"/>
  <c r="P25" i="44"/>
  <c r="O25" i="44"/>
  <c r="O24" i="44"/>
  <c r="P24" i="44" s="1"/>
  <c r="O23" i="44"/>
  <c r="P23" i="44" s="1"/>
  <c r="O22" i="44"/>
  <c r="P22" i="44" s="1"/>
  <c r="O20" i="44"/>
  <c r="P20" i="44" s="1"/>
  <c r="H20" i="44"/>
  <c r="O19" i="44"/>
  <c r="P19" i="44" s="1"/>
  <c r="P18" i="44"/>
  <c r="O18" i="44"/>
  <c r="O17" i="44"/>
  <c r="P17" i="44" s="1"/>
  <c r="H16" i="44"/>
  <c r="G16" i="44"/>
  <c r="H15" i="44"/>
  <c r="G15" i="44"/>
  <c r="O14" i="44"/>
  <c r="P14" i="44" s="1"/>
  <c r="P13" i="44"/>
  <c r="O13" i="44"/>
  <c r="O12" i="44"/>
  <c r="P12" i="44" s="1"/>
  <c r="P11" i="44"/>
  <c r="O11" i="44"/>
  <c r="O10" i="44"/>
  <c r="P10" i="44" s="1"/>
  <c r="P9" i="44"/>
  <c r="O9" i="44"/>
  <c r="P6" i="44"/>
  <c r="O6" i="44"/>
  <c r="H6" i="44"/>
  <c r="P5" i="44"/>
  <c r="O5" i="44"/>
  <c r="O4" i="44"/>
  <c r="P4" i="44" s="1"/>
  <c r="P3" i="44"/>
  <c r="O3" i="44"/>
  <c r="O1" i="44"/>
  <c r="F117" i="44" s="1"/>
  <c r="J117" i="44" s="1"/>
  <c r="K117" i="44" s="1"/>
  <c r="L117" i="44" s="1"/>
  <c r="J113" i="44"/>
  <c r="J95" i="44"/>
  <c r="I63" i="44"/>
  <c r="J60" i="44"/>
  <c r="I53" i="44"/>
  <c r="I48" i="44"/>
  <c r="I40" i="44"/>
  <c r="J37" i="44"/>
  <c r="I29" i="44"/>
  <c r="J6" i="44"/>
  <c r="I122" i="44"/>
  <c r="I113" i="44"/>
  <c r="I95" i="44"/>
  <c r="J82" i="44"/>
  <c r="I78" i="44"/>
  <c r="I75" i="44"/>
  <c r="J66" i="44"/>
  <c r="I60" i="44"/>
  <c r="I57" i="44"/>
  <c r="I52" i="44"/>
  <c r="I37" i="44"/>
  <c r="I6" i="44"/>
  <c r="I120" i="44"/>
  <c r="I47" i="44"/>
  <c r="J39" i="44"/>
  <c r="I21" i="44"/>
  <c r="J29" i="44"/>
  <c r="I121" i="44"/>
  <c r="I108" i="44"/>
  <c r="I82" i="44"/>
  <c r="I66" i="44"/>
  <c r="J62" i="44"/>
  <c r="J47" i="44"/>
  <c r="I31" i="44"/>
  <c r="I112" i="44"/>
  <c r="I107" i="44"/>
  <c r="I62" i="44"/>
  <c r="J51" i="44"/>
  <c r="I42" i="44"/>
  <c r="I30" i="44"/>
  <c r="J14" i="44"/>
  <c r="I111" i="44"/>
  <c r="I106" i="44"/>
  <c r="J77" i="44"/>
  <c r="J74" i="44"/>
  <c r="I69" i="44"/>
  <c r="I65" i="44"/>
  <c r="I56" i="44"/>
  <c r="I51" i="44"/>
  <c r="I39" i="44"/>
  <c r="I16" i="44"/>
  <c r="I8" i="44"/>
  <c r="I114" i="44"/>
  <c r="J105" i="44"/>
  <c r="I67" i="44"/>
  <c r="I55" i="44"/>
  <c r="I38" i="44"/>
  <c r="I54" i="44"/>
  <c r="J119" i="44"/>
  <c r="I96" i="44"/>
  <c r="I84" i="44"/>
  <c r="I77" i="44"/>
  <c r="I74" i="44"/>
  <c r="I68" i="44"/>
  <c r="I61" i="44"/>
  <c r="I59" i="44"/>
  <c r="J41" i="44"/>
  <c r="J20" i="44"/>
  <c r="I7" i="44"/>
  <c r="I119" i="44"/>
  <c r="J110" i="44"/>
  <c r="I83" i="44"/>
  <c r="I64" i="44"/>
  <c r="I41" i="44"/>
  <c r="I20" i="44"/>
  <c r="I110" i="44"/>
  <c r="I105" i="44"/>
  <c r="I58" i="44"/>
  <c r="I15" i="44"/>
  <c r="K110" i="44" l="1"/>
  <c r="L110" i="44" s="1"/>
  <c r="K20" i="44"/>
  <c r="L20" i="44" s="1"/>
  <c r="K41" i="44"/>
  <c r="L41" i="44" s="1"/>
  <c r="K119" i="44"/>
  <c r="L119" i="44" s="1"/>
  <c r="K105" i="44"/>
  <c r="L105" i="44" s="1"/>
  <c r="K74" i="44"/>
  <c r="L74" i="44" s="1"/>
  <c r="K77" i="44"/>
  <c r="L77" i="44" s="1"/>
  <c r="K15" i="44"/>
  <c r="L14" i="44" s="1"/>
  <c r="K51" i="44"/>
  <c r="L51" i="44" s="1"/>
  <c r="K47" i="44"/>
  <c r="L47" i="44" s="1"/>
  <c r="K62" i="44"/>
  <c r="L62" i="44" s="1"/>
  <c r="K30" i="44"/>
  <c r="L29" i="44" s="1"/>
  <c r="K40" i="44"/>
  <c r="L39" i="44" s="1"/>
  <c r="K66" i="44"/>
  <c r="L66" i="44" s="1"/>
  <c r="K82" i="44"/>
  <c r="L82" i="44" s="1"/>
  <c r="K6" i="44"/>
  <c r="L6" i="44" s="1"/>
  <c r="K37" i="44"/>
  <c r="L37" i="44" s="1"/>
  <c r="K60" i="44"/>
  <c r="L60" i="44" s="1"/>
  <c r="K95" i="44"/>
  <c r="L95" i="44" s="1"/>
  <c r="K113" i="44"/>
  <c r="L113" i="44" s="1"/>
  <c r="F6" i="44"/>
  <c r="F19" i="44"/>
  <c r="J19" i="44" s="1"/>
  <c r="K19" i="44" s="1"/>
  <c r="L19" i="44" s="1"/>
  <c r="F57" i="44"/>
  <c r="J57" i="44" s="1"/>
  <c r="K57" i="44" s="1"/>
  <c r="L57" i="44" s="1"/>
  <c r="F34" i="44"/>
  <c r="J34" i="44" s="1"/>
  <c r="K34" i="44" s="1"/>
  <c r="L34" i="44" s="1"/>
  <c r="F46" i="44"/>
  <c r="J46" i="44" s="1"/>
  <c r="K46" i="44" s="1"/>
  <c r="L46" i="44" s="1"/>
  <c r="F73" i="44"/>
  <c r="J73" i="44" s="1"/>
  <c r="K73" i="44" s="1"/>
  <c r="L73" i="44" s="1"/>
  <c r="F100" i="44"/>
  <c r="J100" i="44" s="1"/>
  <c r="K100" i="44" s="1"/>
  <c r="L100" i="44" s="1"/>
  <c r="F10" i="44"/>
  <c r="J10" i="44" s="1"/>
  <c r="K10" i="44" s="1"/>
  <c r="L10" i="44" s="1"/>
  <c r="F14" i="44"/>
  <c r="F24" i="44"/>
  <c r="J24" i="44" s="1"/>
  <c r="K24" i="44" s="1"/>
  <c r="L24" i="44" s="1"/>
  <c r="F86" i="44"/>
  <c r="J86" i="44" s="1"/>
  <c r="K86" i="44" s="1"/>
  <c r="L86" i="44" s="1"/>
  <c r="F90" i="44"/>
  <c r="J90" i="44" s="1"/>
  <c r="K90" i="44" s="1"/>
  <c r="L90" i="44" s="1"/>
  <c r="F94" i="44"/>
  <c r="J94" i="44" s="1"/>
  <c r="K94" i="44" s="1"/>
  <c r="L94" i="44" s="1"/>
  <c r="F28" i="44"/>
  <c r="J28" i="44" s="1"/>
  <c r="K28" i="44" s="1"/>
  <c r="L28" i="44" s="1"/>
  <c r="F58" i="44"/>
  <c r="J58" i="44" s="1"/>
  <c r="K58" i="44" s="1"/>
  <c r="L58" i="44" s="1"/>
  <c r="F66" i="44"/>
  <c r="F110" i="44"/>
  <c r="F116" i="44"/>
  <c r="J116" i="44" s="1"/>
  <c r="K116" i="44" s="1"/>
  <c r="L116" i="44" s="1"/>
  <c r="F32" i="44"/>
  <c r="J32" i="44" s="1"/>
  <c r="K32" i="44" s="1"/>
  <c r="L32" i="44" s="1"/>
  <c r="F36" i="44"/>
  <c r="J36" i="44" s="1"/>
  <c r="K36" i="44" s="1"/>
  <c r="L36" i="44" s="1"/>
  <c r="F44" i="44"/>
  <c r="J44" i="44" s="1"/>
  <c r="K44" i="44" s="1"/>
  <c r="L44" i="44" s="1"/>
  <c r="F17" i="44"/>
  <c r="J17" i="44" s="1"/>
  <c r="K17" i="44" s="1"/>
  <c r="L17" i="44" s="1"/>
  <c r="F39" i="44"/>
  <c r="F51" i="44"/>
  <c r="F4" i="44"/>
  <c r="J4" i="44" s="1"/>
  <c r="K4" i="44" s="1"/>
  <c r="L4" i="44" s="1"/>
  <c r="F12" i="44"/>
  <c r="J12" i="44" s="1"/>
  <c r="K12" i="44" s="1"/>
  <c r="L12" i="44" s="1"/>
  <c r="F26" i="44"/>
  <c r="J26" i="44" s="1"/>
  <c r="K26" i="44" s="1"/>
  <c r="L26" i="44" s="1"/>
  <c r="F64" i="44"/>
  <c r="J64" i="44" s="1"/>
  <c r="K64" i="44" s="1"/>
  <c r="L64" i="44" s="1"/>
  <c r="F82" i="44"/>
  <c r="F22" i="44"/>
  <c r="J22" i="44" s="1"/>
  <c r="K22" i="44" s="1"/>
  <c r="L22" i="44" s="1"/>
  <c r="F104" i="44"/>
  <c r="J104" i="44" s="1"/>
  <c r="K104" i="44" s="1"/>
  <c r="L104" i="44" s="1"/>
  <c r="P124" i="44"/>
  <c r="P126" i="44" s="1"/>
  <c r="P130" i="44" s="1"/>
  <c r="P131" i="44" s="1"/>
  <c r="F23" i="44"/>
  <c r="J23" i="44" s="1"/>
  <c r="K23" i="44" s="1"/>
  <c r="L23" i="44" s="1"/>
  <c r="F27" i="44"/>
  <c r="J27" i="44" s="1"/>
  <c r="K27" i="44" s="1"/>
  <c r="L27" i="44" s="1"/>
  <c r="F41" i="44"/>
  <c r="F50" i="44"/>
  <c r="J50" i="44" s="1"/>
  <c r="K50" i="44" s="1"/>
  <c r="L50" i="44" s="1"/>
  <c r="F56" i="44"/>
  <c r="J56" i="44" s="1"/>
  <c r="K56" i="44" s="1"/>
  <c r="L56" i="44" s="1"/>
  <c r="F71" i="44"/>
  <c r="J71" i="44" s="1"/>
  <c r="K71" i="44" s="1"/>
  <c r="L71" i="44" s="1"/>
  <c r="F81" i="44"/>
  <c r="J81" i="44" s="1"/>
  <c r="K81" i="44" s="1"/>
  <c r="L81" i="44" s="1"/>
  <c r="F85" i="44"/>
  <c r="J85" i="44" s="1"/>
  <c r="K85" i="44" s="1"/>
  <c r="L85" i="44" s="1"/>
  <c r="F89" i="44"/>
  <c r="J89" i="44" s="1"/>
  <c r="K89" i="44" s="1"/>
  <c r="L89" i="44" s="1"/>
  <c r="F93" i="44"/>
  <c r="J93" i="44" s="1"/>
  <c r="K93" i="44" s="1"/>
  <c r="L93" i="44" s="1"/>
  <c r="F109" i="44"/>
  <c r="J109" i="44" s="1"/>
  <c r="K109" i="44" s="1"/>
  <c r="L109" i="44" s="1"/>
  <c r="F113" i="44"/>
  <c r="F3" i="44"/>
  <c r="J3" i="44" s="1"/>
  <c r="K3" i="44" s="1"/>
  <c r="L3" i="44" s="1"/>
  <c r="F11" i="44"/>
  <c r="J11" i="44" s="1"/>
  <c r="K11" i="44" s="1"/>
  <c r="L11" i="44" s="1"/>
  <c r="F20" i="44"/>
  <c r="F35" i="44"/>
  <c r="J35" i="44" s="1"/>
  <c r="K35" i="44" s="1"/>
  <c r="L35" i="44" s="1"/>
  <c r="F43" i="44"/>
  <c r="J43" i="44" s="1"/>
  <c r="K43" i="44" s="1"/>
  <c r="L43" i="44" s="1"/>
  <c r="F47" i="44"/>
  <c r="F55" i="44"/>
  <c r="J55" i="44" s="1"/>
  <c r="K55" i="44" s="1"/>
  <c r="L55" i="44" s="1"/>
  <c r="F99" i="44"/>
  <c r="J99" i="44" s="1"/>
  <c r="K99" i="44" s="1"/>
  <c r="L99" i="44" s="1"/>
  <c r="F103" i="44"/>
  <c r="J103" i="44" s="1"/>
  <c r="K103" i="44" s="1"/>
  <c r="L103" i="44" s="1"/>
  <c r="F115" i="44"/>
  <c r="J115" i="44" s="1"/>
  <c r="K115" i="44" s="1"/>
  <c r="L115" i="44" s="1"/>
  <c r="F119" i="44"/>
  <c r="F49" i="44"/>
  <c r="J49" i="44" s="1"/>
  <c r="K49" i="44" s="1"/>
  <c r="L49" i="44" s="1"/>
  <c r="F70" i="44"/>
  <c r="J70" i="44" s="1"/>
  <c r="K70" i="44" s="1"/>
  <c r="L70" i="44" s="1"/>
  <c r="F80" i="44"/>
  <c r="J80" i="44" s="1"/>
  <c r="K80" i="44" s="1"/>
  <c r="L80" i="44" s="1"/>
  <c r="F88" i="44"/>
  <c r="J88" i="44" s="1"/>
  <c r="K88" i="44" s="1"/>
  <c r="L88" i="44" s="1"/>
  <c r="F92" i="44"/>
  <c r="J92" i="44" s="1"/>
  <c r="K92" i="44" s="1"/>
  <c r="L92" i="44" s="1"/>
  <c r="F77" i="44"/>
  <c r="F98" i="44"/>
  <c r="J98" i="44" s="1"/>
  <c r="K98" i="44" s="1"/>
  <c r="L98" i="44" s="1"/>
  <c r="F102" i="44"/>
  <c r="J102" i="44" s="1"/>
  <c r="K102" i="44" s="1"/>
  <c r="L102" i="44" s="1"/>
  <c r="F118" i="44"/>
  <c r="J118" i="44" s="1"/>
  <c r="K118" i="44" s="1"/>
  <c r="L118" i="44" s="1"/>
  <c r="F25" i="44"/>
  <c r="J25" i="44" s="1"/>
  <c r="K25" i="44" s="1"/>
  <c r="L25" i="44" s="1"/>
  <c r="F29" i="44"/>
  <c r="F60" i="44"/>
  <c r="F74" i="44"/>
  <c r="F79" i="44"/>
  <c r="J79" i="44" s="1"/>
  <c r="K79" i="44" s="1"/>
  <c r="L79" i="44" s="1"/>
  <c r="F87" i="44"/>
  <c r="J87" i="44" s="1"/>
  <c r="K87" i="44" s="1"/>
  <c r="L87" i="44" s="1"/>
  <c r="F91" i="44"/>
  <c r="J91" i="44" s="1"/>
  <c r="K91" i="44" s="1"/>
  <c r="L91" i="44" s="1"/>
  <c r="F95" i="44"/>
  <c r="F123" i="44"/>
  <c r="J123" i="44" s="1"/>
  <c r="K123" i="44" s="1"/>
  <c r="L123" i="44" s="1"/>
  <c r="F5" i="44"/>
  <c r="J5" i="44" s="1"/>
  <c r="K5" i="44" s="1"/>
  <c r="L5" i="44" s="1"/>
  <c r="F9" i="44"/>
  <c r="J9" i="44" s="1"/>
  <c r="K9" i="44" s="1"/>
  <c r="L9" i="44" s="1"/>
  <c r="F13" i="44"/>
  <c r="J13" i="44" s="1"/>
  <c r="K13" i="44" s="1"/>
  <c r="L13" i="44" s="1"/>
  <c r="F18" i="44"/>
  <c r="J18" i="44" s="1"/>
  <c r="K18" i="44" s="1"/>
  <c r="L18" i="44" s="1"/>
  <c r="F33" i="44"/>
  <c r="J33" i="44" s="1"/>
  <c r="K33" i="44" s="1"/>
  <c r="L33" i="44" s="1"/>
  <c r="F37" i="44"/>
  <c r="F45" i="44"/>
  <c r="J45" i="44" s="1"/>
  <c r="K45" i="44" s="1"/>
  <c r="L45" i="44" s="1"/>
  <c r="F59" i="44"/>
  <c r="J59" i="44" s="1"/>
  <c r="K59" i="44" s="1"/>
  <c r="L59" i="44" s="1"/>
  <c r="F62" i="44"/>
  <c r="F76" i="44"/>
  <c r="J76" i="44" s="1"/>
  <c r="K76" i="44" s="1"/>
  <c r="L76" i="44" s="1"/>
  <c r="F97" i="44"/>
  <c r="J97" i="44" s="1"/>
  <c r="K97" i="44" s="1"/>
  <c r="L97" i="44" s="1"/>
  <c r="F101" i="44"/>
  <c r="J101" i="44" s="1"/>
  <c r="K101" i="44" s="1"/>
  <c r="L101" i="44" s="1"/>
  <c r="F105" i="44"/>
  <c r="C34" i="2" l="1"/>
  <c r="E34" i="2" s="1"/>
  <c r="E29" i="42" l="1"/>
  <c r="E30" i="42" s="1"/>
  <c r="B48" i="25"/>
  <c r="B51" i="25" s="1"/>
  <c r="F16" i="47" l="1"/>
  <c r="F19" i="47" l="1"/>
  <c r="F21" i="47"/>
  <c r="E22" i="13"/>
  <c r="E33" i="13" s="1"/>
  <c r="E30" i="7"/>
  <c r="F41" i="7"/>
  <c r="F43" i="7"/>
  <c r="F40" i="7"/>
  <c r="D23" i="47" l="1"/>
  <c r="F42" i="47"/>
  <c r="F43" i="47" s="1"/>
  <c r="D25" i="47"/>
  <c r="F23" i="47"/>
  <c r="F25" i="47" s="1"/>
  <c r="D24" i="46"/>
  <c r="D126" i="19"/>
  <c r="D13" i="19"/>
  <c r="C42" i="2"/>
  <c r="D57" i="19"/>
  <c r="D106" i="19"/>
  <c r="E148" i="19"/>
  <c r="D148" i="19"/>
  <c r="C24" i="30"/>
  <c r="D36" i="2"/>
  <c r="D24" i="43"/>
  <c r="E23" i="36"/>
  <c r="E21" i="36"/>
  <c r="E22" i="36" s="1"/>
  <c r="B131" i="25"/>
  <c r="C12" i="39" l="1"/>
  <c r="F146" i="19"/>
  <c r="F148" i="19" s="1"/>
  <c r="J26" i="16"/>
  <c r="D11" i="35" a="1"/>
  <c r="D11" i="35" s="1"/>
  <c r="D19" i="35" l="1"/>
  <c r="D18" i="35"/>
  <c r="D17" i="35"/>
  <c r="D16" i="35"/>
  <c r="D15" i="35"/>
  <c r="D14" i="35"/>
  <c r="D13" i="35"/>
  <c r="D22" i="35"/>
  <c r="D21" i="35"/>
  <c r="D20" i="35"/>
  <c r="D12" i="35"/>
  <c r="B20" i="35" l="1"/>
  <c r="D117" i="19" l="1"/>
  <c r="F117" i="19" s="1"/>
  <c r="B119" i="25" l="1"/>
  <c r="B132" i="25"/>
  <c r="K81" i="29" l="1"/>
  <c r="B60" i="25"/>
  <c r="B63" i="25" s="1"/>
  <c r="F42" i="46" l="1"/>
  <c r="F44" i="46" s="1"/>
  <c r="F24" i="46"/>
  <c r="F22" i="46"/>
  <c r="D26" i="46"/>
  <c r="F16" i="46"/>
  <c r="F26" i="46" l="1"/>
  <c r="C11" i="39" l="1"/>
  <c r="B101" i="35"/>
  <c r="B104" i="35" s="1"/>
  <c r="B79" i="35"/>
  <c r="B80" i="35" s="1"/>
  <c r="B64" i="35"/>
  <c r="B65" i="35" s="1"/>
  <c r="E11" i="26"/>
  <c r="D50" i="34"/>
  <c r="D120" i="19"/>
  <c r="I92" i="29"/>
  <c r="F69" i="19"/>
  <c r="F33" i="7"/>
  <c r="F50" i="23"/>
  <c r="C11" i="26"/>
  <c r="D25" i="19" s="1"/>
  <c r="F25" i="19" s="1"/>
  <c r="E125" i="34"/>
  <c r="E118" i="34"/>
  <c r="E105" i="34"/>
  <c r="E50" i="34"/>
  <c r="E25" i="34"/>
  <c r="D25" i="34"/>
  <c r="E19" i="34"/>
  <c r="E13" i="34"/>
  <c r="E142" i="19"/>
  <c r="E136" i="19"/>
  <c r="E122" i="19"/>
  <c r="E109" i="19"/>
  <c r="E91" i="19"/>
  <c r="E86" i="19"/>
  <c r="E81" i="19"/>
  <c r="E77" i="19"/>
  <c r="E71" i="19"/>
  <c r="E65" i="19"/>
  <c r="E59" i="19"/>
  <c r="E52" i="19"/>
  <c r="E45" i="19"/>
  <c r="E39" i="19"/>
  <c r="E28" i="19"/>
  <c r="E20" i="19"/>
  <c r="D85" i="29"/>
  <c r="E85" i="29"/>
  <c r="F85" i="29"/>
  <c r="F92" i="29"/>
  <c r="E92" i="29"/>
  <c r="D103" i="19" s="1"/>
  <c r="D92" i="29"/>
  <c r="D101" i="19" s="1"/>
  <c r="D105" i="34"/>
  <c r="C23" i="1" s="1"/>
  <c r="E23" i="1" s="1"/>
  <c r="B50" i="35"/>
  <c r="B51" i="35" s="1"/>
  <c r="C10" i="30"/>
  <c r="F56" i="19"/>
  <c r="J89" i="29"/>
  <c r="F20" i="16"/>
  <c r="E20" i="16" s="1"/>
  <c r="F21" i="16"/>
  <c r="D71" i="19"/>
  <c r="D77" i="19"/>
  <c r="C14" i="45"/>
  <c r="I85" i="29"/>
  <c r="J84" i="29"/>
  <c r="J85" i="29" s="1"/>
  <c r="C92" i="29"/>
  <c r="D99" i="19" s="1"/>
  <c r="D113" i="19"/>
  <c r="F11" i="22"/>
  <c r="F31" i="7"/>
  <c r="D15" i="31"/>
  <c r="E11" i="41"/>
  <c r="G10" i="41"/>
  <c r="H10" i="41" s="1"/>
  <c r="I10" i="41" s="1"/>
  <c r="C30" i="1"/>
  <c r="E30" i="1" s="1"/>
  <c r="F30" i="38"/>
  <c r="F40" i="38" s="1"/>
  <c r="D21" i="2"/>
  <c r="B16" i="25"/>
  <c r="C85" i="29"/>
  <c r="F36" i="7"/>
  <c r="E29" i="7"/>
  <c r="F29" i="7" s="1"/>
  <c r="F20" i="38"/>
  <c r="D24" i="38" s="1"/>
  <c r="F13" i="19"/>
  <c r="E23" i="42"/>
  <c r="G89" i="29"/>
  <c r="G92" i="29" s="1"/>
  <c r="G91" i="29"/>
  <c r="K91" i="29" s="1"/>
  <c r="G90" i="29"/>
  <c r="K90" i="29" s="1"/>
  <c r="J88" i="29"/>
  <c r="C31" i="1"/>
  <c r="E31" i="1" s="1"/>
  <c r="F126" i="19"/>
  <c r="E10" i="22"/>
  <c r="D10" i="22"/>
  <c r="E9" i="22"/>
  <c r="D9" i="22"/>
  <c r="C9" i="22"/>
  <c r="G84" i="29"/>
  <c r="G82" i="29"/>
  <c r="K82" i="29" s="1"/>
  <c r="G83" i="29"/>
  <c r="K83" i="29" s="1"/>
  <c r="E14" i="36"/>
  <c r="E15" i="36" s="1"/>
  <c r="E13" i="42"/>
  <c r="E12" i="42"/>
  <c r="E11" i="42"/>
  <c r="E10" i="42"/>
  <c r="E9" i="42"/>
  <c r="E8" i="42"/>
  <c r="E6" i="42"/>
  <c r="E5" i="42"/>
  <c r="C16" i="1"/>
  <c r="E16" i="1" s="1"/>
  <c r="C15" i="1"/>
  <c r="E15" i="1" s="1"/>
  <c r="F42" i="29"/>
  <c r="F46" i="29" s="1"/>
  <c r="E42" i="29"/>
  <c r="E35" i="29"/>
  <c r="E39" i="29" s="1"/>
  <c r="C35" i="29"/>
  <c r="C43" i="29"/>
  <c r="G43" i="29" s="1"/>
  <c r="C42" i="29"/>
  <c r="C36" i="29"/>
  <c r="G36" i="29" s="1"/>
  <c r="G37" i="29"/>
  <c r="I46" i="29"/>
  <c r="E46" i="29"/>
  <c r="D46" i="29"/>
  <c r="J45" i="29"/>
  <c r="G45" i="29"/>
  <c r="J44" i="29"/>
  <c r="G44" i="29"/>
  <c r="J43" i="29"/>
  <c r="J42" i="29"/>
  <c r="I39" i="29"/>
  <c r="F39" i="29"/>
  <c r="D39" i="29"/>
  <c r="J38" i="29"/>
  <c r="G38" i="29"/>
  <c r="K38" i="29" s="1"/>
  <c r="J37" i="29"/>
  <c r="J36" i="29"/>
  <c r="J39" i="29" s="1"/>
  <c r="J35" i="29"/>
  <c r="F13" i="7"/>
  <c r="F39" i="7"/>
  <c r="C12" i="29"/>
  <c r="G12" i="29" s="1"/>
  <c r="G20" i="29"/>
  <c r="G19" i="29"/>
  <c r="G13" i="29"/>
  <c r="G11" i="29"/>
  <c r="C18" i="29"/>
  <c r="G18" i="29" s="1"/>
  <c r="C17" i="29"/>
  <c r="F17" i="29"/>
  <c r="F21" i="29" s="1"/>
  <c r="F14" i="29"/>
  <c r="I21" i="29"/>
  <c r="E21" i="29"/>
  <c r="D21" i="29"/>
  <c r="J20" i="29"/>
  <c r="J19" i="29"/>
  <c r="J18" i="29"/>
  <c r="J17" i="29"/>
  <c r="I14" i="29"/>
  <c r="E14" i="29"/>
  <c r="D14" i="29"/>
  <c r="J13" i="29"/>
  <c r="K13" i="29" s="1"/>
  <c r="J12" i="29"/>
  <c r="J11" i="29"/>
  <c r="J10" i="29"/>
  <c r="C12" i="32"/>
  <c r="D119" i="19"/>
  <c r="F119" i="19" s="1"/>
  <c r="D116" i="19"/>
  <c r="D115" i="19"/>
  <c r="F115" i="19" s="1"/>
  <c r="D114" i="19"/>
  <c r="D17" i="19"/>
  <c r="D16" i="19"/>
  <c r="D15" i="19"/>
  <c r="F85" i="34"/>
  <c r="F17" i="34"/>
  <c r="F19" i="34" s="1"/>
  <c r="G9" i="41"/>
  <c r="H9" i="41" s="1"/>
  <c r="I9" i="41" s="1"/>
  <c r="C11" i="22"/>
  <c r="F37" i="7"/>
  <c r="F63" i="19"/>
  <c r="F25" i="23"/>
  <c r="D32" i="1"/>
  <c r="D28" i="7"/>
  <c r="D34" i="7"/>
  <c r="F34" i="7" s="1"/>
  <c r="F14" i="38"/>
  <c r="F21" i="23"/>
  <c r="F10" i="7"/>
  <c r="F11" i="7"/>
  <c r="F12" i="7"/>
  <c r="F14" i="7"/>
  <c r="F16" i="7"/>
  <c r="F17" i="7"/>
  <c r="F18" i="7"/>
  <c r="F19" i="7"/>
  <c r="F20" i="7"/>
  <c r="F21" i="7"/>
  <c r="F22" i="7"/>
  <c r="F23" i="7"/>
  <c r="F24" i="7"/>
  <c r="F25" i="7"/>
  <c r="F26" i="7"/>
  <c r="F27" i="7"/>
  <c r="F30" i="7"/>
  <c r="F32" i="7"/>
  <c r="E35" i="7"/>
  <c r="F35" i="7" s="1"/>
  <c r="F38" i="7"/>
  <c r="F11" i="34"/>
  <c r="F13" i="34" s="1"/>
  <c r="D13" i="34"/>
  <c r="C14" i="1" s="1"/>
  <c r="E14" i="1" s="1"/>
  <c r="D19" i="34"/>
  <c r="F23" i="34"/>
  <c r="F25" i="34" s="1"/>
  <c r="F29" i="34"/>
  <c r="F109" i="34"/>
  <c r="F122" i="34"/>
  <c r="B6" i="16"/>
  <c r="B8" i="16"/>
  <c r="E18" i="16"/>
  <c r="E19" i="16"/>
  <c r="E21" i="16"/>
  <c r="E23" i="16"/>
  <c r="E22" i="16"/>
  <c r="E24" i="16"/>
  <c r="H26" i="16"/>
  <c r="F32" i="19"/>
  <c r="F62" i="19"/>
  <c r="F64" i="19"/>
  <c r="F68" i="19"/>
  <c r="F70" i="19"/>
  <c r="F74" i="19"/>
  <c r="F76" i="19"/>
  <c r="F79" i="19"/>
  <c r="F80" i="19"/>
  <c r="D81" i="19"/>
  <c r="F84" i="19"/>
  <c r="F85" i="19"/>
  <c r="D86" i="19"/>
  <c r="F89" i="19"/>
  <c r="F90" i="19"/>
  <c r="D91" i="19"/>
  <c r="D17" i="1"/>
  <c r="D25" i="1"/>
  <c r="A46" i="1"/>
  <c r="D26" i="2"/>
  <c r="D39" i="2"/>
  <c r="E43" i="2"/>
  <c r="D46" i="2"/>
  <c r="D125" i="34"/>
  <c r="F123" i="34"/>
  <c r="D65" i="19"/>
  <c r="D18" i="19"/>
  <c r="F26" i="19"/>
  <c r="D118" i="34"/>
  <c r="C24" i="1" s="1"/>
  <c r="E24" i="1" s="1"/>
  <c r="D59" i="19"/>
  <c r="E24" i="42"/>
  <c r="E25" i="42" s="1"/>
  <c r="F113" i="19" l="1"/>
  <c r="F116" i="19"/>
  <c r="F114" i="19"/>
  <c r="F120" i="19"/>
  <c r="G11" i="41"/>
  <c r="C21" i="1"/>
  <c r="E21" i="1" s="1"/>
  <c r="F81" i="34"/>
  <c r="D107" i="19"/>
  <c r="I94" i="29"/>
  <c r="C94" i="29"/>
  <c r="F42" i="38"/>
  <c r="F46" i="38" s="1"/>
  <c r="F28" i="23"/>
  <c r="F32" i="23" s="1"/>
  <c r="D43" i="19"/>
  <c r="D45" i="19" s="1"/>
  <c r="C19" i="2" s="1"/>
  <c r="E19" i="2" s="1"/>
  <c r="E26" i="42"/>
  <c r="E27" i="42" s="1"/>
  <c r="E28" i="42" s="1"/>
  <c r="E14" i="42"/>
  <c r="E34" i="42"/>
  <c r="E94" i="29"/>
  <c r="D105" i="19"/>
  <c r="D102" i="19"/>
  <c r="D100" i="19"/>
  <c r="D98" i="19"/>
  <c r="F98" i="19" s="1"/>
  <c r="D104" i="19"/>
  <c r="D24" i="19"/>
  <c r="F24" i="19" s="1"/>
  <c r="F28" i="19" s="1"/>
  <c r="C17" i="2"/>
  <c r="E17" i="2" s="1"/>
  <c r="D22" i="38"/>
  <c r="F22" i="38" s="1"/>
  <c r="F24" i="38" s="1"/>
  <c r="C13" i="40"/>
  <c r="D37" i="19" s="1"/>
  <c r="I11" i="41"/>
  <c r="H11" i="41"/>
  <c r="D49" i="19"/>
  <c r="D28" i="2"/>
  <c r="F125" i="34"/>
  <c r="F86" i="19"/>
  <c r="F59" i="19"/>
  <c r="D20" i="19"/>
  <c r="C16" i="2" s="1"/>
  <c r="E16" i="2" s="1"/>
  <c r="F91" i="19"/>
  <c r="F75" i="19"/>
  <c r="F77" i="19" s="1"/>
  <c r="F81" i="19"/>
  <c r="E94" i="19"/>
  <c r="F20" i="19"/>
  <c r="D94" i="29"/>
  <c r="D48" i="29"/>
  <c r="K37" i="29"/>
  <c r="K44" i="29"/>
  <c r="J14" i="29"/>
  <c r="C21" i="29"/>
  <c r="C39" i="29"/>
  <c r="K11" i="29"/>
  <c r="E48" i="29"/>
  <c r="I48" i="29"/>
  <c r="K43" i="29"/>
  <c r="J46" i="29"/>
  <c r="D23" i="29"/>
  <c r="K19" i="29"/>
  <c r="G35" i="29"/>
  <c r="K35" i="29" s="1"/>
  <c r="K39" i="29" s="1"/>
  <c r="I23" i="29"/>
  <c r="K84" i="29"/>
  <c r="K85" i="29" s="1"/>
  <c r="J21" i="29"/>
  <c r="K12" i="29"/>
  <c r="K45" i="29"/>
  <c r="G17" i="29"/>
  <c r="K17" i="29" s="1"/>
  <c r="K36" i="29"/>
  <c r="J92" i="29"/>
  <c r="J94" i="29" s="1"/>
  <c r="K18" i="29"/>
  <c r="F48" i="29"/>
  <c r="E23" i="29"/>
  <c r="C46" i="29"/>
  <c r="J48" i="29"/>
  <c r="K20" i="29"/>
  <c r="K89" i="29"/>
  <c r="F23" i="29"/>
  <c r="G42" i="29"/>
  <c r="C10" i="29"/>
  <c r="F65" i="19"/>
  <c r="F71" i="19"/>
  <c r="D94" i="19"/>
  <c r="F26" i="16"/>
  <c r="E42" i="2" s="1"/>
  <c r="E16" i="36"/>
  <c r="E17" i="36" s="1"/>
  <c r="E18" i="36" s="1"/>
  <c r="E19" i="36" s="1"/>
  <c r="E20" i="36" s="1"/>
  <c r="E44" i="7"/>
  <c r="D44" i="7"/>
  <c r="D142" i="19"/>
  <c r="F140" i="19"/>
  <c r="F142" i="19" s="1"/>
  <c r="F136" i="19"/>
  <c r="F118" i="34"/>
  <c r="F105" i="34"/>
  <c r="C22" i="1"/>
  <c r="E22" i="1" s="1"/>
  <c r="F50" i="34"/>
  <c r="E17" i="1"/>
  <c r="C32" i="1"/>
  <c r="E32" i="1"/>
  <c r="C17" i="1"/>
  <c r="F94" i="29"/>
  <c r="G85" i="29"/>
  <c r="G94" i="29" s="1"/>
  <c r="K88" i="29"/>
  <c r="D136" i="19"/>
  <c r="C10" i="40"/>
  <c r="E10" i="40" s="1"/>
  <c r="F15" i="7"/>
  <c r="F44" i="7" s="1"/>
  <c r="F28" i="7"/>
  <c r="D122" i="19"/>
  <c r="D27" i="1"/>
  <c r="D36" i="1" s="1"/>
  <c r="D37" i="1" s="1"/>
  <c r="D48" i="2"/>
  <c r="F122" i="19" l="1"/>
  <c r="C33" i="2"/>
  <c r="E33" i="2" s="1"/>
  <c r="B23" i="35"/>
  <c r="C10" i="39"/>
  <c r="C12" i="40"/>
  <c r="E12" i="40"/>
  <c r="D28" i="19"/>
  <c r="C32" i="2"/>
  <c r="E32" i="2" s="1"/>
  <c r="D47" i="38"/>
  <c r="D51" i="38" s="1"/>
  <c r="F34" i="23"/>
  <c r="F30" i="23"/>
  <c r="F43" i="19"/>
  <c r="F45" i="19" s="1"/>
  <c r="C24" i="2"/>
  <c r="E24" i="2" s="1"/>
  <c r="D36" i="42"/>
  <c r="E38" i="42" s="1"/>
  <c r="F109" i="19"/>
  <c r="D109" i="19"/>
  <c r="C25" i="2" s="1"/>
  <c r="D34" i="19"/>
  <c r="D36" i="19"/>
  <c r="F36" i="19" s="1"/>
  <c r="F94" i="19"/>
  <c r="G39" i="29"/>
  <c r="G21" i="29"/>
  <c r="C48" i="29"/>
  <c r="J23" i="29"/>
  <c r="K92" i="29"/>
  <c r="K94" i="29" s="1"/>
  <c r="K97" i="29" s="1"/>
  <c r="K21" i="29"/>
  <c r="G46" i="29"/>
  <c r="K42" i="29"/>
  <c r="G10" i="29"/>
  <c r="C14" i="29"/>
  <c r="C23" i="29" s="1"/>
  <c r="E25" i="1"/>
  <c r="E27" i="1" s="1"/>
  <c r="C25" i="1"/>
  <c r="C27" i="1" s="1"/>
  <c r="C36" i="1" s="1"/>
  <c r="C44" i="2" s="1"/>
  <c r="F49" i="19"/>
  <c r="C13" i="39" l="1"/>
  <c r="C20" i="2" s="1"/>
  <c r="D50" i="19"/>
  <c r="E36" i="2"/>
  <c r="E39" i="2" s="1"/>
  <c r="C36" i="2"/>
  <c r="C39" i="2" s="1"/>
  <c r="C26" i="2"/>
  <c r="E25" i="2"/>
  <c r="E26" i="2" s="1"/>
  <c r="K10" i="29"/>
  <c r="K14" i="29" s="1"/>
  <c r="K23" i="29" s="1"/>
  <c r="G14" i="29"/>
  <c r="G23" i="29" s="1"/>
  <c r="K46" i="29"/>
  <c r="K48" i="29" s="1"/>
  <c r="G48" i="29"/>
  <c r="C9" i="40"/>
  <c r="E9" i="40" s="1"/>
  <c r="E14" i="40" s="1"/>
  <c r="E36" i="1"/>
  <c r="C37" i="1"/>
  <c r="E44" i="2"/>
  <c r="E46" i="2" s="1"/>
  <c r="C46" i="2"/>
  <c r="F52" i="19" l="1"/>
  <c r="F50" i="19"/>
  <c r="D52" i="19"/>
  <c r="E20" i="2"/>
  <c r="E48" i="2"/>
  <c r="C48" i="2"/>
  <c r="D33" i="19"/>
  <c r="C14" i="40"/>
  <c r="E37" i="1"/>
  <c r="D39" i="19" l="1"/>
  <c r="C18" i="2" s="1"/>
  <c r="F33" i="19"/>
  <c r="F39" i="19" s="1"/>
  <c r="E18" i="2" l="1"/>
  <c r="E21" i="2" s="1"/>
  <c r="E28" i="2" s="1"/>
  <c r="C21" i="2"/>
  <c r="C28" i="2" s="1"/>
</calcChain>
</file>

<file path=xl/sharedStrings.xml><?xml version="1.0" encoding="utf-8"?>
<sst xmlns="http://schemas.openxmlformats.org/spreadsheetml/2006/main" count="1487" uniqueCount="962">
  <si>
    <t>Corrientes:</t>
  </si>
  <si>
    <t>No Corrientes:</t>
  </si>
  <si>
    <t>FONDO PATRIMONIAL DE LAS EMPRESAS REFORMADAS</t>
  </si>
  <si>
    <t>Mes Actual</t>
  </si>
  <si>
    <t>ACTIVOS</t>
  </si>
  <si>
    <t>PASIVOS</t>
  </si>
  <si>
    <t>TOTAL PASIVOS</t>
  </si>
  <si>
    <t>PATRIMONIO</t>
  </si>
  <si>
    <t>TOTAL PATRIMONIO</t>
  </si>
  <si>
    <t xml:space="preserve">    </t>
  </si>
  <si>
    <t xml:space="preserve">ESTADO DE RESULTADOS </t>
  </si>
  <si>
    <t>Marleny Medrano</t>
  </si>
  <si>
    <t>Directora Administrativa Financiera</t>
  </si>
  <si>
    <t>PARQUE ECOLOGICO LAS LAGUNAS</t>
  </si>
  <si>
    <t>P/ CORREGIR BALANCE PROVEEDOR POR DISMINUCION EN PARTIDA DE IMPREVISTOS Y AUMENTO DE ITBIS</t>
  </si>
  <si>
    <t>HILDA ELIZABETH ESCAÑO FERNANDEZ</t>
  </si>
  <si>
    <t>MARIO ISRAEL VALERIO MEJIA</t>
  </si>
  <si>
    <t>FELIX MARIA UBIERA SATURRIA</t>
  </si>
  <si>
    <t>RAUL ALBERTO MORETA CASTILLO</t>
  </si>
  <si>
    <t>CARLOS ALBERTO MONTERO MONTERO</t>
  </si>
  <si>
    <t>MANUEL ARCIDE DE LOS SANTOS BAUTISTA</t>
  </si>
  <si>
    <t>JIMENEZ ALBA Y ASCIADOS SRL</t>
  </si>
  <si>
    <t>CONSTRUCCIONES Y EQUIPOS MOLINAS SRL</t>
  </si>
  <si>
    <t>CONSTR DE 5 VIVIENDAS DE 2 Y 3 DORMITORIOS EN DIFERENTES SECTORES EN STO DGO</t>
  </si>
  <si>
    <t>MADELINE CANARIO OLIO</t>
  </si>
  <si>
    <t>CONSTRUCCION DE UNA PANADERIA REPOSTERIA EN SABANA LARGA, ELIAS PIÑA</t>
  </si>
  <si>
    <t>JOHNNY OMAR MEDINA FELIZ</t>
  </si>
  <si>
    <t>PLANTA FISICA PINEDA</t>
  </si>
  <si>
    <t>CONSTRUCCION LOTE #9 DE 15 VIVIENDAS ECONOMICAS, EN SAN JUAN DE LA MAGUANA 150 VIVIENDAS</t>
  </si>
  <si>
    <t>GAMUNDY CRUZ MADERA</t>
  </si>
  <si>
    <t>CONSTRUCCION DE 5 VIVIENDAS ECONOMICAS EN DIFERENTES SECTORES DE SANTIAGO</t>
  </si>
  <si>
    <t>MANUEL ANTONIO MERCEDES ESCOTO</t>
  </si>
  <si>
    <t>MIGUEL ANTONIO BERMUDEZ TORIBIO</t>
  </si>
  <si>
    <t>CONSTRUCCION,TERMINACION Y REPARACION DE 6 VIVIENDAS ECONOMICAS EN DIF. SECTORES,STGO</t>
  </si>
  <si>
    <t>SANTO ALOMAR MARIA UREÑA</t>
  </si>
  <si>
    <t>CONSTRUCCION DE CENTRO DE CONFECCION TEXTIL PEDRO GARCIA, SANTIAGO.</t>
  </si>
  <si>
    <t>LUIS MANUEL DURAN MIESES</t>
  </si>
  <si>
    <t>CONSTRUCCION DE (7) VIVIENDAS, TERMINACION DE (1) VIVIENDA Y REPARACION DE (2) VIVIENDAS, EN SANTIAGO.</t>
  </si>
  <si>
    <t>FABIOLA HAYDEE REYES MATOS</t>
  </si>
  <si>
    <t>CONSTRUCCION  DE PANADERIA REPOSTERIA LA CUMBRE, SANTIAGO.</t>
  </si>
  <si>
    <t>JOSE LUIS TAVERAS DE LOS SANTOS</t>
  </si>
  <si>
    <t>CONSTRUCCION DE CENTRO DE CONFECCION TEXTIL LA CUMBRE, SANTIAGO.</t>
  </si>
  <si>
    <t>TATIANA PUELLO MEDINA</t>
  </si>
  <si>
    <t>CONSTRUCCION DE UN PLAY DE BASEBALL MAMBUICHE, GURABO, SANTIAGO.</t>
  </si>
  <si>
    <t>MULTHIERROS &amp; CONSTRUCCIONES, SRL</t>
  </si>
  <si>
    <t>CONSTRUCCION DE UNA FUNERARIA MUNICIPAL EN JAMAO AL NORTE, PROVINCIA ESPAILLAT.</t>
  </si>
  <si>
    <t>CAROLINE MANUELA LOPEZ REYES</t>
  </si>
  <si>
    <t>CONSTRUCCION DE (6) VIVIENDAS, TERMINACION DE (3) Y REPARACION DE (1) EN DIFERENTES SECTORES DE SANTIAGO</t>
  </si>
  <si>
    <t>MULTICON, CONSTRUCCION EN GENERAL</t>
  </si>
  <si>
    <t>CONSTRUCCION DE UNA FUNERARIA MUNICIPAL EN MONTE CRISTI</t>
  </si>
  <si>
    <t>COFEMONT, SRL</t>
  </si>
  <si>
    <t>CONSTR. DE PANADERIA REPOSTERIA LA LEONOR, PARAJE LA LEONOR MUNICIPIO SABANETA, SANTIAGO RODRIGUEZ.</t>
  </si>
  <si>
    <t>BEXEL ENGINEERING AND CONTRACTORS, SR</t>
  </si>
  <si>
    <t>CONSTR. DE PANADERIA REPOSTERIA EN CARRERA DE YEGUA, LAS MATAS DE FARFAN, SAN JUAN.</t>
  </si>
  <si>
    <t>NEZARCA CONSTRUCTORA, SRL</t>
  </si>
  <si>
    <t>CONSTR. DE (4) VIVIENDAS ECONOMICAS EN DIF. SECTORES DE STO, DGO Y (1) EN SAN CRISTOBAL.</t>
  </si>
  <si>
    <t>CONSTR. DE PANADERIA REPOSTERIA Y SALON MULTIUSO LA BUENA ESPERANZA, EL PINO EN DAJABON.</t>
  </si>
  <si>
    <t>CONSTR. PANADERIA REPOSTERIA LAS MATAS DE FARFAN EN MUNICIPIO LAS MATAS DE FARFAN, SAN JUAN.</t>
  </si>
  <si>
    <t>CONSTR. DEL CENTRO DE MADRES PARA LA CONFECCION TEXTIL QUITA CORAZA, BARAHONA.</t>
  </si>
  <si>
    <t>BALANCE</t>
  </si>
  <si>
    <t>ANTERIOR</t>
  </si>
  <si>
    <t>EJECUTADO</t>
  </si>
  <si>
    <t>EN EL MES</t>
  </si>
  <si>
    <t>JOSE RAMON MARTINEZ HENRIQUEZ / ROBERT ANTONIO ALMANZAR MERCADO</t>
  </si>
  <si>
    <t>ANTICIPOS EN COMPRAS</t>
  </si>
  <si>
    <t>CAJA CHICA POR PAGAR</t>
  </si>
  <si>
    <t>VACACIONES POR PAGAR</t>
  </si>
  <si>
    <t>BANCO DE RESERVAS</t>
  </si>
  <si>
    <t>OTROS INGRESOS</t>
  </si>
  <si>
    <t>SUELDOS NAVIDEÑOS</t>
  </si>
  <si>
    <t>PRESTACIONES LABORALES</t>
  </si>
  <si>
    <t>BONIFICACIONES</t>
  </si>
  <si>
    <t>PAGOS DE VACACIONES</t>
  </si>
  <si>
    <t>INCENTIVO POR VACACIONES</t>
  </si>
  <si>
    <t>AGUA</t>
  </si>
  <si>
    <t>LIMPIEZA E HIGIENE</t>
  </si>
  <si>
    <t>PASAJES</t>
  </si>
  <si>
    <t>SEGUROS DE PERSONAS</t>
  </si>
  <si>
    <t>COMISIONES Y GASTOS BANCARIOS</t>
  </si>
  <si>
    <t>IMPUESTOS, DERECHOS Y TASAS</t>
  </si>
  <si>
    <t>PAPEL DE ESCRITORIO</t>
  </si>
  <si>
    <t>COMBUSTIBLES Y LUBRICANTES</t>
  </si>
  <si>
    <t>MATERIALES DE LIMPIEZA</t>
  </si>
  <si>
    <t>AYUDAS Y DONACIONES A PERSONAS</t>
  </si>
  <si>
    <t>Mes Anterior</t>
  </si>
  <si>
    <t>Variación</t>
  </si>
  <si>
    <t>MOLINOS DEL OZAMA</t>
  </si>
  <si>
    <t>EGEHAINA</t>
  </si>
  <si>
    <t>EDESUR</t>
  </si>
  <si>
    <t>EDENORTE</t>
  </si>
  <si>
    <t>EDEESTE</t>
  </si>
  <si>
    <t>% De</t>
  </si>
  <si>
    <t>Participación</t>
  </si>
  <si>
    <t>Cantidad de</t>
  </si>
  <si>
    <t>Acciones</t>
  </si>
  <si>
    <t>Notas</t>
  </si>
  <si>
    <t>INTERESES GANADOS:</t>
  </si>
  <si>
    <t>TOTAL INTERESES GANADOS</t>
  </si>
  <si>
    <t>OTROS INGRESOS:</t>
  </si>
  <si>
    <t>TOTAL OTROS INGRESOS</t>
  </si>
  <si>
    <t>REMUNERACIONES:</t>
  </si>
  <si>
    <t>SUELDOS PARA CARGOS FIJOS</t>
  </si>
  <si>
    <t>TOTAL REMUNERACIONES</t>
  </si>
  <si>
    <t>INTERNET Y TV POR CABLE</t>
  </si>
  <si>
    <t>ELECTRICIDAD</t>
  </si>
  <si>
    <t>TOTAL SERVICIOS NO PERSONALES</t>
  </si>
  <si>
    <t>ALIMENTOS Y BEBIDAS PARA PERSONAS</t>
  </si>
  <si>
    <t>AMORTIZACIONES BIENES INTANGIBLES</t>
  </si>
  <si>
    <t>TOTAL MATERIALES Y SUMINISTROS</t>
  </si>
  <si>
    <t>TOTAL TRANSFERENCIAS Y DONACIONES</t>
  </si>
  <si>
    <t>EFECTIVO EN CAJA Y BANCO:</t>
  </si>
  <si>
    <t>FONDO DE CAJA CHICA</t>
  </si>
  <si>
    <t>BANCO DE RESERVAS (CTA. OPERATIVA)</t>
  </si>
  <si>
    <t>TOTAL EFECTIVO EN CAJA Y BANCO</t>
  </si>
  <si>
    <t>CUENTAS POR COBRAR MANTENIMIENTO EDIFICIO</t>
  </si>
  <si>
    <t>TOTAL GASTOS ANTICIPADOS</t>
  </si>
  <si>
    <t>MEJORAS E INSTALACIONES</t>
  </si>
  <si>
    <t>SOFTWARE</t>
  </si>
  <si>
    <t>CUENTAS POR PAGAR</t>
  </si>
  <si>
    <t>CUENTAS POR PAGAR PROVEEDORES</t>
  </si>
  <si>
    <t>CUENTAS POR PAGAR POR HONORARIOS CONTRATADOS</t>
  </si>
  <si>
    <t>TOTAL CUENTAS POR PAGAR</t>
  </si>
  <si>
    <t>GASTOS DE PERSONAL Y RETENCIONES POR PAGAR</t>
  </si>
  <si>
    <t>GRATIFICACIONES Y BONIFICACIONES POR PAGAR</t>
  </si>
  <si>
    <t>TOTAL GASTOS DE PERSONAL Y RETENCIONES POR PAGAR</t>
  </si>
  <si>
    <t>ANEXOS ESTADO DE RESULTADOS</t>
  </si>
  <si>
    <t>TOTAL CUENTAS POR COBRAR</t>
  </si>
  <si>
    <t>INVENTARIO DE SUMINISTROS</t>
  </si>
  <si>
    <t>TOTAL INVENTARIO DE SUMINISTROS</t>
  </si>
  <si>
    <t>TOTAL INVERSIONES EN ACCIONES</t>
  </si>
  <si>
    <t>OTRAS CUENTAS POR PAGAR</t>
  </si>
  <si>
    <t>Nota</t>
  </si>
  <si>
    <t>Ingresos:</t>
  </si>
  <si>
    <t xml:space="preserve">Remuneraciones                              </t>
  </si>
  <si>
    <t xml:space="preserve">Total </t>
  </si>
  <si>
    <t xml:space="preserve">Aporte </t>
  </si>
  <si>
    <t>Acumulado al Mes Actual</t>
  </si>
  <si>
    <t>Acumulado al Mes Anterior</t>
  </si>
  <si>
    <t xml:space="preserve">Efectivo en caja y banco            </t>
  </si>
  <si>
    <t xml:space="preserve">Inversiones a corto plazo           </t>
  </si>
  <si>
    <t xml:space="preserve">Cuentas por cobrar                    </t>
  </si>
  <si>
    <t>Inventario de suministros</t>
  </si>
  <si>
    <t xml:space="preserve">Gastos anticipados                     </t>
  </si>
  <si>
    <t>Total activos corrientes</t>
  </si>
  <si>
    <t>Inversiones en acciones</t>
  </si>
  <si>
    <t>Total activos no corrientes</t>
  </si>
  <si>
    <t xml:space="preserve">Cuentas por pagar                             </t>
  </si>
  <si>
    <t xml:space="preserve">Otras cuentas por pagar                   </t>
  </si>
  <si>
    <t>Total pasivo a corto plazo</t>
  </si>
  <si>
    <t xml:space="preserve">Patrimonio institucional </t>
  </si>
  <si>
    <t>Resultado del ejercicio anterior</t>
  </si>
  <si>
    <t>Resultado del ejercicio corriente</t>
  </si>
  <si>
    <t xml:space="preserve">Gastos personal y retenciones por pagar   </t>
  </si>
  <si>
    <t xml:space="preserve">Intereses ganados                              </t>
  </si>
  <si>
    <t xml:space="preserve">Otros ingresos                                </t>
  </si>
  <si>
    <t>Total de ingresos</t>
  </si>
  <si>
    <t xml:space="preserve">Servicios no personales             </t>
  </si>
  <si>
    <t xml:space="preserve">Materiales y suministros             </t>
  </si>
  <si>
    <t xml:space="preserve">Transferencias y donaciones    </t>
  </si>
  <si>
    <t>Total gastos operaciones</t>
  </si>
  <si>
    <t>Resultado en operaciones</t>
  </si>
  <si>
    <t>TOTAL</t>
  </si>
  <si>
    <t>José E. Florentino</t>
  </si>
  <si>
    <t>Presidente</t>
  </si>
  <si>
    <t>Acumulado Mes Actual</t>
  </si>
  <si>
    <t>Acumulado Mes Anterior</t>
  </si>
  <si>
    <t>FECHA</t>
  </si>
  <si>
    <t>SUPLIDOR</t>
  </si>
  <si>
    <t>VALOR</t>
  </si>
  <si>
    <t>orden de las columnas</t>
  </si>
  <si>
    <t>poner una columna para las notas</t>
  </si>
  <si>
    <t>crear nota del capital institucional</t>
  </si>
  <si>
    <t>cambiar contrato de construccion por avance a contratista</t>
  </si>
  <si>
    <t>cambios pendientes en los anexos del sistema</t>
  </si>
  <si>
    <t>separar el certificado del banco agricola de las inversion en accion</t>
  </si>
  <si>
    <t>cambiar la numeración de las notas</t>
  </si>
  <si>
    <t>cambiar partidas por cobrar por cuentas por cobrar</t>
  </si>
  <si>
    <t>cambiar inventario por almacen de suministros e inventario de suministros</t>
  </si>
  <si>
    <t xml:space="preserve">total de actino po total total propiedas planta y equipo neto </t>
  </si>
  <si>
    <t>cambiar cerificado banco agricola por deposito a plazos (banco agricola)</t>
  </si>
  <si>
    <t xml:space="preserve">buscar notas hecha en excel para referencia </t>
  </si>
  <si>
    <t>donde dice intereses por cobar banco agricola esta mal escrito</t>
  </si>
  <si>
    <t>cambiar nombre de las colmnas mes actual mes anteriror variacion / acumulado mes actual acumulado mes anterio</t>
  </si>
  <si>
    <t>SERVICIOS GENERALES POR PAGAR</t>
  </si>
  <si>
    <t>ACTUAL</t>
  </si>
  <si>
    <t>FACTURA</t>
  </si>
  <si>
    <t>TOTAL AMORTIZADO</t>
  </si>
  <si>
    <t>BALANCE ACTUAL</t>
  </si>
  <si>
    <t>Carlos Suberví</t>
  </si>
  <si>
    <t>AVANCE</t>
  </si>
  <si>
    <t>Cliente</t>
  </si>
  <si>
    <t>Detalles</t>
  </si>
  <si>
    <t>Monto US$</t>
  </si>
  <si>
    <t>Cuentas por pagar</t>
  </si>
  <si>
    <t>Monto RD$</t>
  </si>
  <si>
    <t>Tasa de cambio</t>
  </si>
  <si>
    <t>Efectivo en Caja y Banco</t>
  </si>
  <si>
    <t>Caja chica</t>
  </si>
  <si>
    <t>2-2-502-0278183</t>
  </si>
  <si>
    <t>2-2-201-0061783</t>
  </si>
  <si>
    <t>2-2-801-0047211</t>
  </si>
  <si>
    <t>2-2-815-0013469</t>
  </si>
  <si>
    <t>2-2-812-0013468</t>
  </si>
  <si>
    <t>2-2-503-0278669</t>
  </si>
  <si>
    <t>GASTO MENSUAL</t>
  </si>
  <si>
    <t>Menos DESCUENTO</t>
  </si>
  <si>
    <t>Total RD$</t>
  </si>
  <si>
    <t>Total</t>
  </si>
  <si>
    <t>Cédula de detalle de cuentas</t>
  </si>
  <si>
    <t>NOTA 1</t>
  </si>
  <si>
    <t>NOTA 2</t>
  </si>
  <si>
    <t>Inversiones a Corto Plazo</t>
  </si>
  <si>
    <t xml:space="preserve">ESTADO DE SITUACIÓN </t>
  </si>
  <si>
    <t xml:space="preserve">ANEXOS DE ESTADO DE SITUACIÓN </t>
  </si>
  <si>
    <t>NOTA 3</t>
  </si>
  <si>
    <t>ANÁLISIS BALANCE CUENTA AVANCE CONTRATOS DE CONSTRUCCIÓN</t>
  </si>
  <si>
    <t>CONCEPTO</t>
  </si>
  <si>
    <t>Anticipos en Compras</t>
  </si>
  <si>
    <t>Cuentas por Cobrar</t>
  </si>
  <si>
    <t>NOTA 5</t>
  </si>
  <si>
    <t>NOTA 9</t>
  </si>
  <si>
    <t>Descripción</t>
  </si>
  <si>
    <t>Valores expresados en RD$</t>
  </si>
  <si>
    <t>TRANSFERENCIAS Y DONACIONES:</t>
  </si>
  <si>
    <t>SUELDOS FIJOS PERSONAL EN TRÁMITE DE PENSIONES</t>
  </si>
  <si>
    <t>COMPENSACIÓN POR GASTOS DE ALIMENTOS</t>
  </si>
  <si>
    <t>COMPENSACIÓN POR SERVICIOS DE SEGURIDAD</t>
  </si>
  <si>
    <t>HONORARIOS PROFESIONALES Y TÉCNICOS</t>
  </si>
  <si>
    <t>CONTRIBUCIÓN A EMPLEADOS POR OCASIONES ESPECIALES</t>
  </si>
  <si>
    <t>TELÉFONO LOCAL</t>
  </si>
  <si>
    <t>RESIDUOS SÓLIDOS</t>
  </si>
  <si>
    <t>VIÁTICOS DENTRO DEL PAÍS</t>
  </si>
  <si>
    <t>LIBROS, REVISTAS Y PERIÓDICOS</t>
  </si>
  <si>
    <t>PRODUCTOS ELÉCTRICOS Y AFINES</t>
  </si>
  <si>
    <t>ÚTILES DE COCINA Y COMEDOR</t>
  </si>
  <si>
    <t>ÚTILES DIVERSOS</t>
  </si>
  <si>
    <t>DEPRECIACIÓN MUEBLES Y EQUIPOS DE OFICINA</t>
  </si>
  <si>
    <t>DEPRECIACIÓN MEJORAS E INSTALACIONES</t>
  </si>
  <si>
    <t>BANCO DE RESERVAS (CTA. NÓMINA)</t>
  </si>
  <si>
    <t>CTA AHORRO DÓLARES BCO DE RESERVAS A LA PAR</t>
  </si>
  <si>
    <t>CTA AHORRO DÓLARES BCO DE RESERVAS PRIMA</t>
  </si>
  <si>
    <t>AVANCES CONTRATOS DE CONSTRUCCIÓN</t>
  </si>
  <si>
    <t>PARTICIPACIÓN EN MOLINOS DEL OZAMA</t>
  </si>
  <si>
    <t>PARTICIPACIÓN EN EDESUR</t>
  </si>
  <si>
    <t>REGALÍA PASCUAL POR PAGAR</t>
  </si>
  <si>
    <t>RETENCIÓN ITBIS</t>
  </si>
  <si>
    <t>RETENCIÓN CODIA</t>
  </si>
  <si>
    <t>RETENCIÓN FOPETCONS</t>
  </si>
  <si>
    <t>Pólizas de Seguros de la Institución</t>
  </si>
  <si>
    <t>NO. PÓLIZA</t>
  </si>
  <si>
    <t>Detalles de Salarios por Pagar</t>
  </si>
  <si>
    <t>EGE Haina</t>
  </si>
  <si>
    <t>EGE Itabo</t>
  </si>
  <si>
    <t>Molinos de Ozama</t>
  </si>
  <si>
    <t>Ingresos por Participación en las Empresas Reformadas</t>
  </si>
  <si>
    <t>cuenta no. 1104-01-001</t>
  </si>
  <si>
    <t>CUENTAS POR PAGAR COMBUSTIBLES</t>
  </si>
  <si>
    <t>Encargado División de Contabilidad</t>
  </si>
  <si>
    <t>Mobiliarios y equipos, Neto</t>
  </si>
  <si>
    <t>TOTAL INVERSIONES A CORTO PLAZO</t>
  </si>
  <si>
    <t>MOBILIARIOS Y EQUIPOS</t>
  </si>
  <si>
    <t>TOTAL MOBILIARIOS Y EQUIPOS, NETO</t>
  </si>
  <si>
    <t>TOTAL OTRAS CUENTAS POR PAGAR</t>
  </si>
  <si>
    <t>INVERSIONES A CORTO PLAZO:</t>
  </si>
  <si>
    <t>CUENTAS POR COBRAR:</t>
  </si>
  <si>
    <t>INVENTARIO DE SUMINISTROS:</t>
  </si>
  <si>
    <t>GASTOS ANTICIPADOS:</t>
  </si>
  <si>
    <t>MOBILIARIOS Y EQUIPOS, NETO:</t>
  </si>
  <si>
    <t>INVERSIONES EN ACCIONES:</t>
  </si>
  <si>
    <t>PARTICIPACIÓN EN EGEITABO, NETO</t>
  </si>
  <si>
    <t>PARTICIPACIÓN EN EGEITABO</t>
  </si>
  <si>
    <t>BENEFICIOS (PÉRDIDAS) ACUMULADAS</t>
  </si>
  <si>
    <t>RESERVA LEGAL</t>
  </si>
  <si>
    <t>PARTICIPACIÓN EN MOLINOS DEL OZAMA, NETO</t>
  </si>
  <si>
    <t>PARTICIPACIÓN EN EGEHAINA</t>
  </si>
  <si>
    <t>PARTICIPACIÓN EN EGEHAINA, NETO</t>
  </si>
  <si>
    <t>PARTICIPACIÓN EN EDENORTE</t>
  </si>
  <si>
    <t>PARTICIPACIÓN EN EDENORTE, NETO</t>
  </si>
  <si>
    <t>PARTICIPACIÓN EN EDESUR, NETO</t>
  </si>
  <si>
    <t>PARTICIPACIÓN EN EDEESTE</t>
  </si>
  <si>
    <t>PARTICIPACIÓN EN EDEESTE, NETO</t>
  </si>
  <si>
    <t>DEPRECIACIÓN ACUMULADA</t>
  </si>
  <si>
    <t>AMORTIZACIÓN ACUMULADA</t>
  </si>
  <si>
    <t>EMPRESA</t>
  </si>
  <si>
    <t>OTROS INGRESOS (GASTOS) NO OPERACIONALES:</t>
  </si>
  <si>
    <t>SERVICIOS NO PERSONALES:</t>
  </si>
  <si>
    <t>MATERIALES Y SUMINISTROS:</t>
  </si>
  <si>
    <t>MANTENIMIENTO DE EQUIPOS DE TRANSPORTE Y TRACCIÓN</t>
  </si>
  <si>
    <t xml:space="preserve"> Carlos Suberví</t>
  </si>
  <si>
    <t>TOTAL PASIVOS Y PATRIMONIO</t>
  </si>
  <si>
    <t>TOTAL ACTIVOS</t>
  </si>
  <si>
    <t>RESULTADO NETO</t>
  </si>
  <si>
    <t>TOTAL OTROS INGRESOS (GASTOS) NO OPERACIONALES</t>
  </si>
  <si>
    <t>Nota 12</t>
  </si>
  <si>
    <t>Nota 10</t>
  </si>
  <si>
    <t>NOTA 8</t>
  </si>
  <si>
    <t>Superintendencia de Electricidad</t>
  </si>
  <si>
    <t>NOTA 7</t>
  </si>
  <si>
    <t>Activos Fijos, Neto</t>
  </si>
  <si>
    <t>CONSTRUCTORA SOSANMA S.R.L</t>
  </si>
  <si>
    <t>AVANCE EL 20% DEL PROYECTO CONST.(2)VIVIENDAS ECONOMICAS EN DIF. SECTORES D/ PROV.HERMANAS MIRABAL.</t>
  </si>
  <si>
    <t>Madres</t>
  </si>
  <si>
    <t>Padres</t>
  </si>
  <si>
    <t>Escolar</t>
  </si>
  <si>
    <t>HONORARIOS PARA SUPERVISAR OBRAS</t>
  </si>
  <si>
    <t>Existencias Almacén 1</t>
  </si>
  <si>
    <t>Existencias Almacén 2</t>
  </si>
  <si>
    <t>NOTA 4</t>
  </si>
  <si>
    <t>Almacén no.</t>
  </si>
  <si>
    <t>SUELDO PERSONAL EVENTUAL</t>
  </si>
  <si>
    <t>LLANTAS Y TUBOS</t>
  </si>
  <si>
    <t>TRANSFERENCIAS CORRIENTES A INSTITUCIONES DESCENT. Y</t>
  </si>
  <si>
    <t>Licencia de Microsoft 365</t>
  </si>
  <si>
    <t>LICENCIA MICROSOFT 365</t>
  </si>
  <si>
    <t>1  AÑO</t>
  </si>
  <si>
    <t>DOC. NO.</t>
  </si>
  <si>
    <t>D/F</t>
  </si>
  <si>
    <t>NEVER OFF TECHNOLOGY</t>
  </si>
  <si>
    <t xml:space="preserve"> </t>
  </si>
  <si>
    <t>TRANSFERENCIA A INSTITUCIONES SIN FINES DE LUCRO</t>
  </si>
  <si>
    <t>Seguros</t>
  </si>
  <si>
    <t>CUENTAS POR PAGAR RETENCIONES  (TSS por Pagar)</t>
  </si>
  <si>
    <t>Avance contratos de construcción</t>
  </si>
  <si>
    <t xml:space="preserve">SUIM SUPLIDORES INSTITUCIONALES </t>
  </si>
  <si>
    <t>MICROSOFT OFFICE</t>
  </si>
  <si>
    <t>MEMBRESIA</t>
  </si>
  <si>
    <t>AUDITORIA Y ESTUDIOS FINANCIEROS</t>
  </si>
  <si>
    <t>CUENTA POR PAGAR OTROS PROVEEDORES</t>
  </si>
  <si>
    <t>ELECTROCONSTRUCONT, S.R.L.</t>
  </si>
  <si>
    <t>FLOW, SRL</t>
  </si>
  <si>
    <t>SKETCHPROM, SRL</t>
  </si>
  <si>
    <t>DEPRECIACIÓN ARMAS DE FUEGO</t>
  </si>
  <si>
    <t>Cuenta de ahorro en US$, a la par</t>
  </si>
  <si>
    <t>Cuenta de ahorro en US$, prima</t>
  </si>
  <si>
    <t>Otras Cuentas por pagar</t>
  </si>
  <si>
    <t>Gastos de personal y retenciones por pagar</t>
  </si>
  <si>
    <t>Gratificaciones y bonificaciones por pagar</t>
  </si>
  <si>
    <t>Contribución a la seguridad social por pagar</t>
  </si>
  <si>
    <t>Vacaciones por pagar</t>
  </si>
  <si>
    <t>Regalía pascual por pagar</t>
  </si>
  <si>
    <t>Retenciones de impuestos a proveedores</t>
  </si>
  <si>
    <t>Retenciones impuestos s/renta empleados</t>
  </si>
  <si>
    <t>Retención ITBIS</t>
  </si>
  <si>
    <t>Retención CODIA</t>
  </si>
  <si>
    <t>Retención FOPETCONS</t>
  </si>
  <si>
    <t>OTROS ALQUILERES</t>
  </si>
  <si>
    <t>PRODUCTOS FARMACEUTICOS Y CONEXOS</t>
  </si>
  <si>
    <t>FESTIVIDADES</t>
  </si>
  <si>
    <t>CUENTAS POR COBRAR EMPLEADOS</t>
  </si>
  <si>
    <t>Cuentas por cobrar a empleados</t>
  </si>
  <si>
    <t>CUENTAS POR COBRAR A EMPLEADOS</t>
  </si>
  <si>
    <t>RELACIÓN DE DESCUENTO TELÉFONO</t>
  </si>
  <si>
    <t>No.</t>
  </si>
  <si>
    <t xml:space="preserve">NOMBRE </t>
  </si>
  <si>
    <t>CÉDULA</t>
  </si>
  <si>
    <t>CARGO</t>
  </si>
  <si>
    <t xml:space="preserve">MONTO TOTAL </t>
  </si>
  <si>
    <t>MONTO DE LA CUOTA</t>
  </si>
  <si>
    <t xml:space="preserve">BALANCE CXC </t>
  </si>
  <si>
    <t>001-0088117-6</t>
  </si>
  <si>
    <t>PRESIDENTE</t>
  </si>
  <si>
    <t>001-1231063-6</t>
  </si>
  <si>
    <t>ENCARGADO</t>
  </si>
  <si>
    <t>001-1872649-6</t>
  </si>
  <si>
    <t>COORDINADOR</t>
  </si>
  <si>
    <t>Mejoras e instalaciones</t>
  </si>
  <si>
    <t>Equipos de transporte</t>
  </si>
  <si>
    <t>Saldo inicial</t>
  </si>
  <si>
    <t>Adiciones</t>
  </si>
  <si>
    <t>Ajustes</t>
  </si>
  <si>
    <t>Retiros</t>
  </si>
  <si>
    <t>Depreciación acumulada</t>
  </si>
  <si>
    <t>Cargos del periodo</t>
  </si>
  <si>
    <t>Ajustes y reclasificación</t>
  </si>
  <si>
    <t>Total balance</t>
  </si>
  <si>
    <t>Software</t>
  </si>
  <si>
    <t xml:space="preserve">Descripción costo </t>
  </si>
  <si>
    <t xml:space="preserve">Sub-total dep. acumulada </t>
  </si>
  <si>
    <t>Sub-total costo</t>
  </si>
  <si>
    <t xml:space="preserve">NO. DE CUOTAS </t>
  </si>
  <si>
    <t>MARCOS JUAN TRONCOSO MEJIA</t>
  </si>
  <si>
    <t>Ganancia en operaciones cambiarias</t>
  </si>
  <si>
    <t>Pérdida en operaciones cambiarias</t>
  </si>
  <si>
    <t>Cuenta corriente operativa RD$</t>
  </si>
  <si>
    <t>Cuenta corriente nómina RD$</t>
  </si>
  <si>
    <t>MONTO DE LAS CUOTAS DESCONTADAS</t>
  </si>
  <si>
    <r>
      <t xml:space="preserve">CONSTRUCCION LOTE #4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</si>
  <si>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#6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</si>
  <si>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#14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</si>
  <si>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#16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</si>
  <si>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#10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</si>
  <si>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#12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</si>
  <si>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>CONSTRUCCION LOTE #7 DE 15 VIVIENDAS ECONOMICAS, EN SAN JUAN DE LA MAGUANA</t>
    </r>
    <r>
      <rPr>
        <sz val="12"/>
        <color indexed="10"/>
        <rFont val="Arial"/>
        <family val="2"/>
      </rPr>
      <t xml:space="preserve"> 150 VIVIENDAS</t>
    </r>
  </si>
  <si>
    <t>Comisión Nacional de Energía</t>
  </si>
  <si>
    <t>CONSTRUCCION DE UN  DESTACAMENTO POLICIAL EN QUITA CORAZA, BARAHONA</t>
  </si>
  <si>
    <t>NO. CHEQUE</t>
  </si>
  <si>
    <r>
      <t xml:space="preserve">SUPLIDOR DE SERVICIO: </t>
    </r>
    <r>
      <rPr>
        <b/>
        <sz val="12"/>
        <rFont val="Arial"/>
        <family val="2"/>
      </rPr>
      <t>QUANTUM</t>
    </r>
  </si>
  <si>
    <r>
      <t xml:space="preserve">ASEGURADORA: </t>
    </r>
    <r>
      <rPr>
        <b/>
        <sz val="12"/>
        <rFont val="Arial"/>
        <family val="2"/>
      </rPr>
      <t>SEGUROS BANRESERVAS</t>
    </r>
  </si>
  <si>
    <t>TOTAL PAGADO</t>
  </si>
  <si>
    <t>DURACIÓN</t>
  </si>
  <si>
    <t>VALOR RD$</t>
  </si>
  <si>
    <r>
      <t xml:space="preserve">SUPLIDOR DE SERVICIO: </t>
    </r>
    <r>
      <rPr>
        <b/>
        <sz val="12"/>
        <rFont val="Arial"/>
        <family val="2"/>
      </rPr>
      <t>NEVER OFF TECHNOLOGY</t>
    </r>
  </si>
  <si>
    <t>Mobiliario y equipos de oficina</t>
  </si>
  <si>
    <t>Bienes tangibles e intangibles</t>
  </si>
  <si>
    <t>Total Activos Tangibles</t>
  </si>
  <si>
    <t>Total general</t>
  </si>
  <si>
    <t>Total Activos Intangibles</t>
  </si>
  <si>
    <t xml:space="preserve">CUENTAS POR PAGAR POR HONORARIOS CONTRATADOS </t>
  </si>
  <si>
    <t>Armas de fuego</t>
  </si>
  <si>
    <t xml:space="preserve">SERVICIOS GENERALES POR PAGAR </t>
  </si>
  <si>
    <t>PRENDAS DE VESTIR</t>
  </si>
  <si>
    <t>SERVICIOS ESPECIALES</t>
  </si>
  <si>
    <t>ARMAS DE FUEGO</t>
  </si>
  <si>
    <t>PROVISION DE LA BONIFICACION</t>
  </si>
  <si>
    <t>#</t>
  </si>
  <si>
    <t>Conceptos</t>
  </si>
  <si>
    <t>Nómina mes</t>
  </si>
  <si>
    <t>Total provisión</t>
  </si>
  <si>
    <t>Bono Aniversario (fijos, pension, consejo, milit)</t>
  </si>
  <si>
    <t>Bono navidad militares (1.5)</t>
  </si>
  <si>
    <t>Bonos a las secretarias</t>
  </si>
  <si>
    <t>Bono desempeño Fijos (1.0)</t>
  </si>
  <si>
    <r>
      <t>Bono Navidad Fijos  (2.5</t>
    </r>
    <r>
      <rPr>
        <b/>
        <sz val="14"/>
        <color indexed="8"/>
        <rFont val="Calibri"/>
        <family val="2"/>
      </rPr>
      <t>)</t>
    </r>
  </si>
  <si>
    <t>Bono Navidad Consejo  (2.5)</t>
  </si>
  <si>
    <t>ENERO</t>
  </si>
  <si>
    <t>FEBRERO</t>
  </si>
  <si>
    <t>MARZO</t>
  </si>
  <si>
    <t>Total bonificación anual proyectada</t>
  </si>
  <si>
    <t>Entre 12 meses</t>
  </si>
  <si>
    <t>Provisión mensual</t>
  </si>
  <si>
    <t xml:space="preserve">DIVIDIDO  /   12  =  </t>
  </si>
  <si>
    <t>FONPER</t>
  </si>
  <si>
    <t>Cálculo de la actualización de la provision para Regalía navideña</t>
  </si>
  <si>
    <t xml:space="preserve">Militares </t>
  </si>
  <si>
    <t>En via de pensión</t>
  </si>
  <si>
    <t xml:space="preserve">Fijos </t>
  </si>
  <si>
    <t xml:space="preserve">Consejo  </t>
  </si>
  <si>
    <t>Dividido / 12 =</t>
  </si>
  <si>
    <t>Enero</t>
  </si>
  <si>
    <t>Febrero</t>
  </si>
  <si>
    <t>Marzo</t>
  </si>
  <si>
    <t>MARLENY MEDRANO</t>
  </si>
  <si>
    <t>ABRIL</t>
  </si>
  <si>
    <t>Registrado</t>
  </si>
  <si>
    <t>Ajuste</t>
  </si>
  <si>
    <t>Abril</t>
  </si>
  <si>
    <t>MOTYKA, S.R.L.</t>
  </si>
  <si>
    <r>
      <t xml:space="preserve">FACT NO.  </t>
    </r>
    <r>
      <rPr>
        <b/>
        <sz val="12"/>
        <rFont val="Arial"/>
        <family val="2"/>
      </rPr>
      <t>B1500000042</t>
    </r>
  </si>
  <si>
    <t>AMORTIZACIÓN MAR/2023</t>
  </si>
  <si>
    <t>AMORTIZACIÓN ABR/2023</t>
  </si>
  <si>
    <t>AMORTIZACIÓN MAY/2023</t>
  </si>
  <si>
    <t>AMORTIZACIÓN JUN/2023</t>
  </si>
  <si>
    <t>AMORTIZACIÓN AGO./2023</t>
  </si>
  <si>
    <t>AMORTIZACIÓN SEP./2023</t>
  </si>
  <si>
    <t>AMORTIZACIÓN OCT./2023</t>
  </si>
  <si>
    <t>AMORTIZACIÓN NOV./2023</t>
  </si>
  <si>
    <t>AMORTIZACIÓN DIC./2023</t>
  </si>
  <si>
    <t>AMORTIZACIÓN ENE./2024</t>
  </si>
  <si>
    <t>AMORTIZACIÓN FEB./2024</t>
  </si>
  <si>
    <t>MARZO  -   DICIEMBRE 2023</t>
  </si>
  <si>
    <t>X  10  =</t>
  </si>
  <si>
    <t>X  2  =</t>
  </si>
  <si>
    <t>10  MESES</t>
  </si>
  <si>
    <t>2  MESES</t>
  </si>
  <si>
    <t>OBRAS MENORES</t>
  </si>
  <si>
    <t>EQUIPOS DE TRANSPORTE</t>
  </si>
  <si>
    <t>Anticipo en compras</t>
  </si>
  <si>
    <t>AMORTIZACIÓN FEBRERO / 2023</t>
  </si>
  <si>
    <t>AMORTIZACIÓN MARZO / 2023</t>
  </si>
  <si>
    <t>AMORTIZACIÓN ABRIL / 2023</t>
  </si>
  <si>
    <t>AMORTIZACIÓN MAYO / 2023</t>
  </si>
  <si>
    <t>AMORTIZACIÓN JUNIO / 2023</t>
  </si>
  <si>
    <t>AMORTIZACIÓN AGOSTO / 2023</t>
  </si>
  <si>
    <t>AMORTIZACIÓN SEPTIEMBRE / 2023</t>
  </si>
  <si>
    <t>AMORTIZACIÓN OCTUBRE / 2023</t>
  </si>
  <si>
    <t>DESDE EL 1 MARZO 2023 HASTA EL 28 FEBRERO 2024</t>
  </si>
  <si>
    <t>ENERO   -   FEBRERO 2024</t>
  </si>
  <si>
    <t>Gastos pagados por anticipado</t>
  </si>
  <si>
    <t>INGRESOS POR PARTICIPACIÓN EN EMPRESAS REFORMADAS:</t>
  </si>
  <si>
    <t>TOTAL INGRESOS POR PARTICIPACIÓN EN EMPRESAS REFORMADAS</t>
  </si>
  <si>
    <t>DIETAS EN EL PAÍS</t>
  </si>
  <si>
    <t>GASTOS DE REPRESENTACIÓN</t>
  </si>
  <si>
    <t>SERVICIOS DE CAPACITACIÓN</t>
  </si>
  <si>
    <t>PRODUCTOS DE ARTES GRÁFICAS</t>
  </si>
  <si>
    <t>ÚTILES DE ESCRITORIO, OFICINAS, ENSEÑANZA Y MAT. INFO.</t>
  </si>
  <si>
    <t>VIÁTICOS Y DIETAS PARA SUPERVISAR OBRAS</t>
  </si>
  <si>
    <t>MAYO</t>
  </si>
  <si>
    <t>5101-01-007-002</t>
  </si>
  <si>
    <t xml:space="preserve">     2101-01-002</t>
  </si>
  <si>
    <t>BR - 9605896549</t>
  </si>
  <si>
    <t>CUENTA 1104-01-004</t>
  </si>
  <si>
    <t>Intereses de certificados RD$ BR</t>
  </si>
  <si>
    <t>Mayo</t>
  </si>
  <si>
    <t>Junio</t>
  </si>
  <si>
    <t>Julio</t>
  </si>
  <si>
    <t>JUNIO</t>
  </si>
  <si>
    <t>JULIO</t>
  </si>
  <si>
    <t>NO.</t>
  </si>
  <si>
    <t>NOMBRE</t>
  </si>
  <si>
    <t>CEDULA</t>
  </si>
  <si>
    <t>FECHA INGRESO</t>
  </si>
  <si>
    <t>NOMBRE PUESTO</t>
  </si>
  <si>
    <t>INGRESOS EMPLEADO FIJO</t>
  </si>
  <si>
    <t xml:space="preserve">Promedio por Día </t>
  </si>
  <si>
    <t xml:space="preserve">DÍAS PENDIENTES </t>
  </si>
  <si>
    <t>AIDA VICTORIA PARDILLA MARTINEZ</t>
  </si>
  <si>
    <t>001-0121439-3</t>
  </si>
  <si>
    <t>ENCARGADA</t>
  </si>
  <si>
    <t>ALCE  ODELL CACERES LEREBOURS</t>
  </si>
  <si>
    <t>011-0030863-2</t>
  </si>
  <si>
    <t>ADMINISTRADOR DE SERVICIOS TIC</t>
  </si>
  <si>
    <t>ANA ILDA NUÑEZ BATISTA</t>
  </si>
  <si>
    <t>001-0170959-0</t>
  </si>
  <si>
    <t>ANALISTA DE GESTIÓN PATRIMONIAL II</t>
  </si>
  <si>
    <t>ANASTASIA ROSAURA  A AVILA UBRI</t>
  </si>
  <si>
    <t>001-0052279-6</t>
  </si>
  <si>
    <t>ANALISTA</t>
  </si>
  <si>
    <t>ANGELINA BAUTISTA PAULA</t>
  </si>
  <si>
    <t>402-2205827-9</t>
  </si>
  <si>
    <t>CONSERJE</t>
  </si>
  <si>
    <t>CARLOS JULIO SUBERVI CARRASCO</t>
  </si>
  <si>
    <t>001-0534439-4</t>
  </si>
  <si>
    <t>CARMEN JULIA PEREZ FERNANDEZ</t>
  </si>
  <si>
    <t>001-0493826-1</t>
  </si>
  <si>
    <t>CAROL JULISSA DIAZ MELO</t>
  </si>
  <si>
    <t>013-0047791-4</t>
  </si>
  <si>
    <t>COORDINADOR (A) ADMINISTRATIVO</t>
  </si>
  <si>
    <t>CELIA M CUEVAS JIMENEZ</t>
  </si>
  <si>
    <t>402-2438784-1</t>
  </si>
  <si>
    <t>CLAUDIO ALBERTO MARTE MERCEDES</t>
  </si>
  <si>
    <t>001-0143945-3</t>
  </si>
  <si>
    <t>CLAUDIO FERNANDEZ HERNANDEZ</t>
  </si>
  <si>
    <t>402-2517466-9</t>
  </si>
  <si>
    <t>ANALISTA DE GESTIÓN PATRIMONIAL I</t>
  </si>
  <si>
    <t>CRISTIAN INOA GARCIA</t>
  </si>
  <si>
    <t>001-1515470-0</t>
  </si>
  <si>
    <t>CHOFER</t>
  </si>
  <si>
    <t>DANIA RODRIGUEZ RODRIGUEZ</t>
  </si>
  <si>
    <t>001-1571913-0</t>
  </si>
  <si>
    <t>DESIREE MARIN GARCIA</t>
  </si>
  <si>
    <t>028-0093660-7</t>
  </si>
  <si>
    <t>COORDINADORA</t>
  </si>
  <si>
    <t>DIANA J ROSARIO POLANCO</t>
  </si>
  <si>
    <t>402-2007014-4</t>
  </si>
  <si>
    <t>DIONICIO EMILIO GUERRERO PEREZ</t>
  </si>
  <si>
    <t>001-1244805-5</t>
  </si>
  <si>
    <t>ANALISTA DE PROYECTOS</t>
  </si>
  <si>
    <t>DOMINGO ALBERTO RODRIGUEZ</t>
  </si>
  <si>
    <t>001-1071664-4</t>
  </si>
  <si>
    <t>EDDY M DOMINGUEZ LINARES</t>
  </si>
  <si>
    <t>001-0286266-1</t>
  </si>
  <si>
    <t>EDGAR  MOISES DUME PEPEN</t>
  </si>
  <si>
    <t>001-0141585-9</t>
  </si>
  <si>
    <t>ENC. SECCIÓN DE CORRESP. Y ARCH</t>
  </si>
  <si>
    <t>EDILI D RAMIREZ RODRIGUEZ</t>
  </si>
  <si>
    <t>014-0019473-2</t>
  </si>
  <si>
    <t>AUXILIAR ADMINISTRATIVO</t>
  </si>
  <si>
    <t>EDWARD ALEXANDER AQUINO ALMONTE</t>
  </si>
  <si>
    <t>223-0177017-2</t>
  </si>
  <si>
    <t>SOPORTE TECNICO</t>
  </si>
  <si>
    <t>EDWIN JOHANNY JIMENEZ</t>
  </si>
  <si>
    <t>001-0554742-6</t>
  </si>
  <si>
    <t>ELIN ALBERTO PENA GERMAN</t>
  </si>
  <si>
    <t>058-0029471-1</t>
  </si>
  <si>
    <t>ADMINISTRADOR DE OPERACIONES TIC</t>
  </si>
  <si>
    <t>001-0253274-4</t>
  </si>
  <si>
    <t>ABOGADO I</t>
  </si>
  <si>
    <t>ESKIBEL JAVIER SANCHEZ VIDAL</t>
  </si>
  <si>
    <t>402-2537848-4</t>
  </si>
  <si>
    <t>012-0013831-9</t>
  </si>
  <si>
    <t>FRANCIS GISELLE BUSSI INOA</t>
  </si>
  <si>
    <t>001-1829653-2</t>
  </si>
  <si>
    <t>COORDINADOR (A) DE ARQUITECTURA</t>
  </si>
  <si>
    <t>FRANCISCA SANCHEZ DE LOS SANTOS</t>
  </si>
  <si>
    <t>109-0000646-0</t>
  </si>
  <si>
    <t>FRANSER DESIREE SOLIS DE LUNA</t>
  </si>
  <si>
    <t>001-1829189-7</t>
  </si>
  <si>
    <t>FREDDY JOSE PEREYRA  ALBERTO</t>
  </si>
  <si>
    <t>001-0735303-9</t>
  </si>
  <si>
    <t>FREILYN PEREZ</t>
  </si>
  <si>
    <t>102-0010147-4</t>
  </si>
  <si>
    <t>TÉCNICO ADMINISTRATIVO</t>
  </si>
  <si>
    <t>GERMAINE D GAZON ROSARIO</t>
  </si>
  <si>
    <t>ISMAEL VALENTIN PENA SANTOS</t>
  </si>
  <si>
    <t>402-2507525-4</t>
  </si>
  <si>
    <t>MENSAJERO EXTERNO</t>
  </si>
  <si>
    <t>JESUS O SANCHEZ TRINIDAD</t>
  </si>
  <si>
    <t>402-2460123-3</t>
  </si>
  <si>
    <t>ANALISTA INFORMÁTICO</t>
  </si>
  <si>
    <t>JORGE LUIS MATEO CASTILLO</t>
  </si>
  <si>
    <t>108-0009768-4</t>
  </si>
  <si>
    <t>JOSE A ALMONTE MARTE</t>
  </si>
  <si>
    <t>049-0044389-8</t>
  </si>
  <si>
    <t>JOSE CESAREO PEGUERO LOPEZ</t>
  </si>
  <si>
    <t>001-0018861-4</t>
  </si>
  <si>
    <t>JOSE E FLORENTINO RODRIGUEZ</t>
  </si>
  <si>
    <t>JOSE MANUEL VALDEZ</t>
  </si>
  <si>
    <t>001-0706570-8</t>
  </si>
  <si>
    <t>SUPERVISOR DE TRANSPORTACIÓN</t>
  </si>
  <si>
    <t>JOSEFINA MERCEDES VEGA BATLLE</t>
  </si>
  <si>
    <t>001-0088614-2</t>
  </si>
  <si>
    <t>VICE-PRESIDENTE</t>
  </si>
  <si>
    <t>JUAN SANTANA H</t>
  </si>
  <si>
    <t>001-1283290-2</t>
  </si>
  <si>
    <t>JUDITH LOPEZ GONZALEZ</t>
  </si>
  <si>
    <t>402-2425148-4</t>
  </si>
  <si>
    <t>ARQUITECTO (A)</t>
  </si>
  <si>
    <t>LADY  MARGARET ESPINAL ROMERO</t>
  </si>
  <si>
    <t>001-1380119-5</t>
  </si>
  <si>
    <t>RELACIONISTA PUBLICO</t>
  </si>
  <si>
    <t>LELIA MARCELL MENDOZA LORA</t>
  </si>
  <si>
    <t>001-1660735-9</t>
  </si>
  <si>
    <t>LEON ALTAGRACIA GOMEZ DIAZ</t>
  </si>
  <si>
    <t>001-1171977-9</t>
  </si>
  <si>
    <t>ASESOR</t>
  </si>
  <si>
    <t>LEONARDO PEREZ</t>
  </si>
  <si>
    <t>001-1066299-6</t>
  </si>
  <si>
    <t>LAVADOR VEHICULOS</t>
  </si>
  <si>
    <t>LEWIS A MEDRANO MORLA</t>
  </si>
  <si>
    <t>026-0086583-2</t>
  </si>
  <si>
    <t>LICET IVANA BELTRE VALERA</t>
  </si>
  <si>
    <t>001-0825565-4</t>
  </si>
  <si>
    <t>ASESOR LEGAL</t>
  </si>
  <si>
    <t>LISBET RODRIGUEZ GUZMAN</t>
  </si>
  <si>
    <t>093-0064646-1</t>
  </si>
  <si>
    <t>LUIS ALFREDO FUCHU ARTILES</t>
  </si>
  <si>
    <t>031-0498373-3</t>
  </si>
  <si>
    <t>LUIS ANTONIO MOQUETE PELLETIER</t>
  </si>
  <si>
    <t>MARIA ELENA ESTRELLA DUARTE</t>
  </si>
  <si>
    <t>224-0033764-2</t>
  </si>
  <si>
    <t>MARINO ACOSTA GUANTE</t>
  </si>
  <si>
    <t>001-1429953-0</t>
  </si>
  <si>
    <t>AUXILIAR</t>
  </si>
  <si>
    <t>MARLENY A MEDRANO RODRIGUEZ</t>
  </si>
  <si>
    <t>031-0363039-2</t>
  </si>
  <si>
    <t>DIRECTORA</t>
  </si>
  <si>
    <t>MARTHA ARELYS BEATO ABREU</t>
  </si>
  <si>
    <t>031-0073264-7</t>
  </si>
  <si>
    <t>MAXIMO A PERALTA MOREL</t>
  </si>
  <si>
    <t>008-0027053-0</t>
  </si>
  <si>
    <t>MAYRUBI LAZARO VALENZUELA</t>
  </si>
  <si>
    <t>223-0068699-9</t>
  </si>
  <si>
    <t>MERCEDES IVELICES GUZMAN VALERIO</t>
  </si>
  <si>
    <t>001-1370605-5</t>
  </si>
  <si>
    <t>MICHELLE A DIAZ ABAD</t>
  </si>
  <si>
    <t>001-1326863-5</t>
  </si>
  <si>
    <t>MIGUEL ALFONSO DE LA ROSA  ARIAS</t>
  </si>
  <si>
    <t>001-0456132-9</t>
  </si>
  <si>
    <t>NADIA ROSA MARIA BAEZ LOPEZ</t>
  </si>
  <si>
    <t>001-1804822-2</t>
  </si>
  <si>
    <t>NICOLLE HARVEY PICHARDO</t>
  </si>
  <si>
    <t>402-2780308-3</t>
  </si>
  <si>
    <t>SECRETARIA</t>
  </si>
  <si>
    <t>NIKAURY ARACENA MEJIA</t>
  </si>
  <si>
    <t>229-0014511-5</t>
  </si>
  <si>
    <t>MENSAJERA INTERNA</t>
  </si>
  <si>
    <t>001-0101922-2</t>
  </si>
  <si>
    <t>NYSA MARIA FERREIRA BALBI</t>
  </si>
  <si>
    <t>224-0052301-9</t>
  </si>
  <si>
    <t>RECEPCIONISTA</t>
  </si>
  <si>
    <t>OLIVER SORIANO OVIEDO</t>
  </si>
  <si>
    <t>001-1205212-1</t>
  </si>
  <si>
    <t>INGENIERO DE ESTRUCTURA</t>
  </si>
  <si>
    <t>OMAR DE JESUS COHEN SANDER</t>
  </si>
  <si>
    <t>001-1292739-7</t>
  </si>
  <si>
    <t>OSVALDO PEREZ PIMENTEL</t>
  </si>
  <si>
    <t>001-1809397-0</t>
  </si>
  <si>
    <t>COORDINADOR (A) DE GESTION PATR</t>
  </si>
  <si>
    <t>PEDRO DANIEL ESQUEA MONTILLA</t>
  </si>
  <si>
    <t>068-0031602-5</t>
  </si>
  <si>
    <t>RAFAEL EDUARDO RAMIREZ ISIDOR</t>
  </si>
  <si>
    <t>402-0994729-6</t>
  </si>
  <si>
    <t>RAPHIEL RADNEY ABREU</t>
  </si>
  <si>
    <t>402-3019278-9</t>
  </si>
  <si>
    <t>RICHARD RAMON MEJIA MENDOZA</t>
  </si>
  <si>
    <t>402-2084647-7</t>
  </si>
  <si>
    <t>AUXILIAR DE SUMINISTRO</t>
  </si>
  <si>
    <t>001-1053884-0</t>
  </si>
  <si>
    <t>ROSSY LISVERY VOLQUEZ PEREZ</t>
  </si>
  <si>
    <t>402-2017665-1</t>
  </si>
  <si>
    <t>RUBEN DARIO ALMONTE MATEO</t>
  </si>
  <si>
    <t>001-0929733-3</t>
  </si>
  <si>
    <t>RUDDY LANI GARCIA  ALCANTARA</t>
  </si>
  <si>
    <t>402-4218217-4</t>
  </si>
  <si>
    <t>031-0097204-5</t>
  </si>
  <si>
    <t>DIRECTOR</t>
  </si>
  <si>
    <t>SAMUEL JUNIOR ULLOA MARIANO</t>
  </si>
  <si>
    <t>223-0042631-3</t>
  </si>
  <si>
    <t>SARITA MARTINEZ FROMETA</t>
  </si>
  <si>
    <t>001-0491174-8</t>
  </si>
  <si>
    <t>SILVIO J PEREZ VALDEZ</t>
  </si>
  <si>
    <t>001-1848794-1</t>
  </si>
  <si>
    <t>COORDINADOR (A) DE INGENIERIA</t>
  </si>
  <si>
    <t>SOMNE ALTAGRACIA BAEZ TRINIDAD</t>
  </si>
  <si>
    <t>016-0008046-7</t>
  </si>
  <si>
    <t>TOMAS AUGUSTO MENDOZA TORRES</t>
  </si>
  <si>
    <t>001-0180425-0</t>
  </si>
  <si>
    <t>ABOGADO III</t>
  </si>
  <si>
    <t>VERONICA POLANCO REYNOSO</t>
  </si>
  <si>
    <t>229-0017297-8</t>
  </si>
  <si>
    <t>VICTOR M HILARIO LORA</t>
  </si>
  <si>
    <t>001-1814272-8</t>
  </si>
  <si>
    <t>WINSTON POLANCO ROBLES</t>
  </si>
  <si>
    <t>001-1544738-5</t>
  </si>
  <si>
    <t>YANIL STEFANY MEJIA PIMENTEL</t>
  </si>
  <si>
    <t>402-2259310-1</t>
  </si>
  <si>
    <t>MEM-DERS</t>
  </si>
  <si>
    <t>OTROS GASTOS DE PROYECTOS</t>
  </si>
  <si>
    <t>Acumulado julio</t>
  </si>
  <si>
    <t>EGEITABO</t>
  </si>
  <si>
    <t>AMORTIZACIÓN JUL/2023</t>
  </si>
  <si>
    <t>EQUIPAN,S.R.L.</t>
  </si>
  <si>
    <t>CODETEL</t>
  </si>
  <si>
    <t>MARIA EUGENIA KELNER DE BENITO</t>
  </si>
  <si>
    <t>Retención RETENCION ITBIS</t>
  </si>
  <si>
    <t>NEXTWORLD TECHNOLOGY CANADA, S.R.L.</t>
  </si>
  <si>
    <t>BERQUIS DOLORES MORENO</t>
  </si>
  <si>
    <t>ICU SOLUCIONES EMPRESARIALES, SRL</t>
  </si>
  <si>
    <t>GP SOFTWARE &amp; CONSULTING, S.R.L.</t>
  </si>
  <si>
    <t>ISABEL PAULINO</t>
  </si>
  <si>
    <t>CONSTRUCTORA VIASAN &amp; ASOCIADOS, S.R.L.</t>
  </si>
  <si>
    <t>CENTRO AUTOMOTRIZ REMESA ,S.R.L</t>
  </si>
  <si>
    <t>TECNAS, EIRL</t>
  </si>
  <si>
    <t>ITBIS de agosto 2023</t>
  </si>
  <si>
    <t>ISR a Empleados</t>
  </si>
  <si>
    <t>AMORTIZACIÓN JULIO / 2023</t>
  </si>
  <si>
    <t>HISPANIOLA TECHNOLOGY</t>
  </si>
  <si>
    <t>4  MESES</t>
  </si>
  <si>
    <t>X  4  =</t>
  </si>
  <si>
    <t>X  8  =</t>
  </si>
  <si>
    <t>8  MESES</t>
  </si>
  <si>
    <t>ENERO   -   AGOSTO 2024</t>
  </si>
  <si>
    <t>SEPTIEMBRE - DICIEMBRE 2023</t>
  </si>
  <si>
    <t>AMORTIZACIÓN SEPT/2023</t>
  </si>
  <si>
    <t>AMORTIZACIÓN OCT/2023</t>
  </si>
  <si>
    <t>AMORTIZACIÓN NOV/2023</t>
  </si>
  <si>
    <t>AMORTIZACIÓN DIC/2023</t>
  </si>
  <si>
    <t>AMORTIZACIÓN ENE/2024</t>
  </si>
  <si>
    <t>AMORTIZACIÓN MAR./2024</t>
  </si>
  <si>
    <t>AMORTIZACIÓN ABR./2024</t>
  </si>
  <si>
    <t>AMORTIZACIÓN MAY./2024</t>
  </si>
  <si>
    <t>AMORTIZACIÓN JUN./2024</t>
  </si>
  <si>
    <t>AMORTIZACIÓN JUL./2024</t>
  </si>
  <si>
    <t>AMORTIZACIÓN AGO./2024</t>
  </si>
  <si>
    <t>Licencia Mesa de Ayuda JIRA</t>
  </si>
  <si>
    <r>
      <t xml:space="preserve">SUPLIDOR DE SERVICIO: </t>
    </r>
    <r>
      <rPr>
        <b/>
        <sz val="12"/>
        <rFont val="Arial"/>
        <family val="2"/>
      </rPr>
      <t>HISPANIOLA TECHNOLOGY</t>
    </r>
  </si>
  <si>
    <t>DESDE EL 1 SEPTIEMBRE 2023 HASTA EL 31 AGOSTO 2024</t>
  </si>
  <si>
    <t>FACT NO.  326. CK 39252</t>
  </si>
  <si>
    <t>BR - 9606264085</t>
  </si>
  <si>
    <t>CONSTRUCCIONES PALOMINO S.R.L</t>
  </si>
  <si>
    <t>AVANCE 20% PARA CONST.ESCALERA EMERGENCIA FONPER SEGUN CONTRATO 2023-38</t>
  </si>
  <si>
    <t>Lic. M.365</t>
  </si>
  <si>
    <t>Lic. Yira</t>
  </si>
  <si>
    <t>INTER COMPUTER AL, SRL</t>
  </si>
  <si>
    <t>DEPRECIACIÓN EQUIPOS DE TRANSPORTE</t>
  </si>
  <si>
    <t>CESAR ANDRES PICHARDO FERMIN</t>
  </si>
  <si>
    <t>EUGENIA KELNER</t>
  </si>
  <si>
    <t>MARCOS TRONCOSO</t>
  </si>
  <si>
    <t>Intereses certificados RD$ Banreservas</t>
  </si>
  <si>
    <t xml:space="preserve">CANTIDAD DE CUOTA </t>
  </si>
  <si>
    <t xml:space="preserve">CUOTA A DESCONTAR </t>
  </si>
  <si>
    <t>PAGADO HASTA SEPT</t>
  </si>
  <si>
    <t>PENDIENTE POR COBRAR</t>
  </si>
  <si>
    <t xml:space="preserve">           65295.00 </t>
  </si>
  <si>
    <t xml:space="preserve">          6,529.50 </t>
  </si>
  <si>
    <t xml:space="preserve">        58,765.50 </t>
  </si>
  <si>
    <t xml:space="preserve">             6,529.50 </t>
  </si>
  <si>
    <t xml:space="preserve">           64595.00 </t>
  </si>
  <si>
    <t xml:space="preserve">          6,459.50 </t>
  </si>
  <si>
    <t xml:space="preserve">        45,216.50 </t>
  </si>
  <si>
    <t xml:space="preserve">           19,378.50 </t>
  </si>
  <si>
    <t xml:space="preserve">            71795.00 </t>
  </si>
  <si>
    <t xml:space="preserve">          7,179.50 </t>
  </si>
  <si>
    <t xml:space="preserve">        64,615.50 </t>
  </si>
  <si>
    <t xml:space="preserve">             7,179.50 </t>
  </si>
  <si>
    <t>EDDY MIGUEL DOMINGUEZ LINARES</t>
  </si>
  <si>
    <t xml:space="preserve">           68995.00 </t>
  </si>
  <si>
    <t xml:space="preserve">         6,899.50 </t>
  </si>
  <si>
    <t xml:space="preserve">       20,698.50 </t>
  </si>
  <si>
    <t xml:space="preserve">          48,296.50 </t>
  </si>
  <si>
    <t xml:space="preserve">     27,068.00 </t>
  </si>
  <si>
    <t xml:space="preserve">   189,296.00 </t>
  </si>
  <si>
    <t xml:space="preserve">       81,384.00 </t>
  </si>
  <si>
    <t xml:space="preserve">Tiempo en 
la Institución </t>
  </si>
  <si>
    <t>Fecha de Ingreso</t>
  </si>
  <si>
    <t>Fecha de Salida</t>
  </si>
  <si>
    <t>Tiempo Reconocido en el Estado</t>
  </si>
  <si>
    <t>Tiempo Total Trabajado en el Estado</t>
  </si>
  <si>
    <t>DÍAS DE 
VACACIONES 2023</t>
  </si>
  <si>
    <t>Monto Promedio x día de vacaciones</t>
  </si>
  <si>
    <t>FLOTILLA DE T/C PRO COMBUSTIBLES</t>
  </si>
  <si>
    <t>--------------------------------</t>
  </si>
  <si>
    <t>NOTAS</t>
  </si>
  <si>
    <t>LICENCIAS</t>
  </si>
  <si>
    <t>LICENCIA MESA DE AYUDA JIRA</t>
  </si>
  <si>
    <t>Agosto</t>
  </si>
  <si>
    <t>Septiembre</t>
  </si>
  <si>
    <t>AGOSTO</t>
  </si>
  <si>
    <t>SEPTIEMBRE</t>
  </si>
  <si>
    <t>ISR EMPLEADOS AGOSTO 2023</t>
  </si>
  <si>
    <t>ISR EMPLEADOS SEPTIEMBRE 2023</t>
  </si>
  <si>
    <t>EDDY DOMINGUEZ</t>
  </si>
  <si>
    <t>Licencia Microsoft 365</t>
  </si>
  <si>
    <t>MESA DE AYUDA JIRA</t>
  </si>
  <si>
    <t xml:space="preserve"> ISR a Proveedores y contratados</t>
  </si>
  <si>
    <t>INVERSIONES EN PATRIMONIO INSTITUCIONAL</t>
  </si>
  <si>
    <t>VALORES EXPRESADOS EN RD$</t>
  </si>
  <si>
    <t>La Tabacalera, S. A.</t>
  </si>
  <si>
    <t>Cuentas por pagar empresas relacionadas</t>
  </si>
  <si>
    <t>Nota 10-b</t>
  </si>
  <si>
    <t>10-b</t>
  </si>
  <si>
    <t>CUENTAS POR PAGAR EMPRESAS RELACIONADAS</t>
  </si>
  <si>
    <t>TOTAL CUENTAS POR PAGAR EMPRESAS RELACIONADAS</t>
  </si>
  <si>
    <t>CUENTA POR PAGAR LA TABACALERA, S. A.</t>
  </si>
  <si>
    <t>PARTICIPACIÓN EN LA TABACALERA, S. A.</t>
  </si>
  <si>
    <t>PARTICIPACIÓN EN LA TABACALERA, S. A., NETO</t>
  </si>
  <si>
    <t>RETENCIONES IMPUESTOS S/RENTA A PROVEEDORES</t>
  </si>
  <si>
    <t>RETENCIONES IMPUESTOS S/RENTA A EMPLEADOS</t>
  </si>
  <si>
    <t>SUELDOS PERSONAL CONTRATADO</t>
  </si>
  <si>
    <t>COMPENSACIÓN POR HORAS EXTRAS</t>
  </si>
  <si>
    <t>PRIMAS DE TRANSPORTE</t>
  </si>
  <si>
    <t>COMPENSACIÓN AL CONSEJO DE DIRECTORES</t>
  </si>
  <si>
    <t>CONTRIBUCIÓN SEGURIDAD SOCIAL Y RIESGO LABORAL</t>
  </si>
  <si>
    <t>PEAJES</t>
  </si>
  <si>
    <t>ALQUILER MAQUINARIAS Y EQUIPOS DE OFICINAS</t>
  </si>
  <si>
    <t>SEGUROS DE BIENES MUEBLES</t>
  </si>
  <si>
    <t>MANTENIMIENTO Y REPARACIÓN MAQUINARIAS Y EQUIPOS</t>
  </si>
  <si>
    <t>SERVICIOS TÉCNICOS Y PROFESIONALES</t>
  </si>
  <si>
    <t>PRODUCTOS DE PAPEL Y CARTÓN</t>
  </si>
  <si>
    <t>LA TABACALERA, S. A.</t>
  </si>
  <si>
    <t>INCLUSION VEHICULO ISUZU CHASIS MPATFS40JRT001431-2322</t>
  </si>
  <si>
    <t>A LA POLIZA 2-2-502-0278183-2-2-5030278669. VER NC</t>
  </si>
  <si>
    <t>NC 28192 D/F 31-10-24. POR $48,406.26</t>
  </si>
  <si>
    <t>AVANCE 20% S/CONT.2023-041 P/TERMINACION CONSTRUCCION VIVIENDAS 4 STDO DGO Y 1 SAN CRISTOBAL.</t>
  </si>
  <si>
    <t>TERCOTECH S.R.L</t>
  </si>
  <si>
    <t>AVANCE 20% S/CONTRATO 2023-042 P/CONST.CENTRO TEXTIL PEDRO GARCIA STGO</t>
  </si>
  <si>
    <t>SANCHTE CONSTRUCTION AND BUILDING,S.R.L</t>
  </si>
  <si>
    <t>AVANCE 20% S/CONTRATO 2023-040 P/TERMINACION PABADERIA REPOST. SABANA LARGA ELIAS PIÑA</t>
  </si>
  <si>
    <t>SO 3709</t>
  </si>
  <si>
    <t>Oct 2023</t>
  </si>
  <si>
    <t>OCTUBRE - DICIEMBRE 2023</t>
  </si>
  <si>
    <t>3 MESES</t>
  </si>
  <si>
    <t>9  MESES</t>
  </si>
  <si>
    <t>X  9  =</t>
  </si>
  <si>
    <t>AMORTIZACIÓN SEPT/2024</t>
  </si>
  <si>
    <t>Lic. Adobe</t>
  </si>
  <si>
    <t>Balance</t>
  </si>
  <si>
    <t xml:space="preserve">Licencia de Software Adobe </t>
  </si>
  <si>
    <t>OC 6475</t>
  </si>
  <si>
    <t>PUBLICIDAD</t>
  </si>
  <si>
    <t>IMPRESIÓN Y ENCUADERNACIÓN</t>
  </si>
  <si>
    <t>OCTUBRE</t>
  </si>
  <si>
    <t>Octubre 2023</t>
  </si>
  <si>
    <t>ERENIA  ALTAGRACIA ESPAILLAT MARTINEZ</t>
  </si>
  <si>
    <t>EVANGELISTA EUGENIA PEREZ DE LOS SANTOS</t>
  </si>
  <si>
    <t>NIVIA CLARIBEL QUEZADA  FELIZ DE PEÑA</t>
  </si>
  <si>
    <t>ROQUE ORLANDO MORETA RODRIGUEZ</t>
  </si>
  <si>
    <t>SALVADOR YGNACIO RICOURT GOMEZ</t>
  </si>
  <si>
    <t xml:space="preserve">    /   12  =</t>
  </si>
  <si>
    <t>Registrado módulo oct 23</t>
  </si>
  <si>
    <t>Bce. Según reporte</t>
  </si>
  <si>
    <t>Ajuste al gasto y Vac. x pagar</t>
  </si>
  <si>
    <t>CERTIFICADOS DE BANCO DE RESERVAS</t>
  </si>
  <si>
    <t>Licencias ADOBE</t>
  </si>
  <si>
    <t>DESDE EL 1 OCTUBRE 2023 HASTA EL 30 SEPTIEMBRE 2024</t>
  </si>
  <si>
    <r>
      <t xml:space="preserve">SUPLIDOR DE SERVICIO: </t>
    </r>
    <r>
      <rPr>
        <b/>
        <sz val="12"/>
        <rFont val="Arial"/>
        <family val="2"/>
      </rPr>
      <t>INTERCOMPUTER, SRL</t>
    </r>
  </si>
  <si>
    <t>SOFTWARE ADOBE</t>
  </si>
  <si>
    <t>Diferencia</t>
  </si>
  <si>
    <t xml:space="preserve">  Modulo  </t>
  </si>
  <si>
    <t xml:space="preserve">  Contabi</t>
  </si>
  <si>
    <t xml:space="preserve">  Diferenc</t>
  </si>
  <si>
    <t>A octubre 2023</t>
  </si>
  <si>
    <t>A noviembre 2023</t>
  </si>
  <si>
    <t>Ck 39192</t>
  </si>
  <si>
    <t>Ck 38992</t>
  </si>
  <si>
    <t>Ck 38829</t>
  </si>
  <si>
    <t>AMORTIZACIÓN NOVIEMBRE / 2023</t>
  </si>
  <si>
    <t>VIÁTICOS FUERA DEL PAÍS</t>
  </si>
  <si>
    <t>Noviembre 2023</t>
  </si>
  <si>
    <t>VALUMONICS, S. A.</t>
  </si>
  <si>
    <t>LUYENS COMERCIAL, SRL</t>
  </si>
  <si>
    <t>SANTIAGO AYBAR CAMPOS</t>
  </si>
  <si>
    <t>JUAN SANTANA</t>
  </si>
  <si>
    <t>Diciembre 2023</t>
  </si>
  <si>
    <t xml:space="preserve">Grupo 001-útiles de oficina </t>
  </si>
  <si>
    <t xml:space="preserve">Grupo 002- útiles de cocina </t>
  </si>
  <si>
    <t>Grupo 004- útiles de limpieza</t>
  </si>
  <si>
    <t xml:space="preserve">Grupo 0011- otros </t>
  </si>
  <si>
    <t>Plomeria</t>
  </si>
  <si>
    <t>Pintura</t>
  </si>
  <si>
    <t>Eletricos</t>
  </si>
  <si>
    <t xml:space="preserve">Otros </t>
  </si>
  <si>
    <t>Sub-total existencias Almacén 1</t>
  </si>
  <si>
    <t>Sub-total existencias Almacén 2</t>
  </si>
  <si>
    <t>Donaciones (Equipos p/proyectos - 1)</t>
  </si>
  <si>
    <t>Donaciones (Equipos p/proyectos - 2)</t>
  </si>
  <si>
    <t>Caja general</t>
  </si>
  <si>
    <t>DESDE EL 31 OCT 2023 HASTA EL 31 OCT 2024</t>
  </si>
  <si>
    <t>002893273</t>
  </si>
  <si>
    <t>002893193</t>
  </si>
  <si>
    <t>002893252</t>
  </si>
  <si>
    <t>002893251</t>
  </si>
  <si>
    <t>002914829</t>
  </si>
  <si>
    <t>002914836</t>
  </si>
  <si>
    <t>PAGO Ck no. 39495, d/f 22-12-2023</t>
  </si>
  <si>
    <t>AMORTIZACIÓN NOV. / 2023</t>
  </si>
  <si>
    <t>AMORTIZACIÓN DIC. / 2023</t>
  </si>
  <si>
    <t>AMORTIZACIÓN ENERO / 2024</t>
  </si>
  <si>
    <t>Seguros Reservas prepagado</t>
  </si>
  <si>
    <t>Licencias Microsoft</t>
  </si>
  <si>
    <t>Licencias Jira</t>
  </si>
  <si>
    <t>Licencias Adobbe</t>
  </si>
  <si>
    <t>Corrección periodos anteriores</t>
  </si>
  <si>
    <t>Nuevo balance</t>
  </si>
  <si>
    <t>CUENTAS POR PAGAR CONTRATISTAS CONSTRUCCIONES</t>
  </si>
  <si>
    <t>MAXIBODEGAS EOP DEL CARIBE</t>
  </si>
  <si>
    <t>ACTUALIDDES VD, SRL</t>
  </si>
  <si>
    <t>UVRO SOLUCIONES EMPRESARIALES</t>
  </si>
  <si>
    <t>BLACK CUBE TECHNOLOGIES, SRL</t>
  </si>
  <si>
    <t>JOHENNY MAÑON MOTA</t>
  </si>
  <si>
    <t>SILVIO JOSE PEREZ VALDEZ</t>
  </si>
  <si>
    <t>JESUS OMAR SANCHEZ TRINIDAD</t>
  </si>
  <si>
    <t>LADY MARGARET ESPINAL ROMERO</t>
  </si>
  <si>
    <t>MIGUEL ANGEL TRINIDAD TORRES</t>
  </si>
  <si>
    <t>BEXEL ENGINEERING AND CONTRACTORS, SRL</t>
  </si>
  <si>
    <t>CAJA GENERAL</t>
  </si>
  <si>
    <t>NOTA 5-B</t>
  </si>
  <si>
    <t>Avance a futuras capitalizaciones</t>
  </si>
  <si>
    <t>Nota 10-c</t>
  </si>
  <si>
    <t>AL 31 DE DICIEMBRE DEL 2023</t>
  </si>
  <si>
    <t>PLANTA FISICA PINERA SRL</t>
  </si>
  <si>
    <t xml:space="preserve">Participación en las Empresas Reformadas     </t>
  </si>
  <si>
    <t>Gastos de operaciones:</t>
  </si>
  <si>
    <t>Otros ingresos (pérdidas)</t>
  </si>
  <si>
    <t>Total Otros Ingresos (pérdidas):</t>
  </si>
  <si>
    <t>--------------------------------------------------------------------------------------------------------------------------------------------------</t>
  </si>
  <si>
    <t>INTERESES CERTIFICADOS RD$ BANCO RESERVAS</t>
  </si>
  <si>
    <t>CERTIFICADOS BANCO DE RESERVAS DÓLARES A LA PAR</t>
  </si>
  <si>
    <t>CERTIFICADOS BANCO DE RESERVAS DÓLARES PRIMA</t>
  </si>
  <si>
    <t>INTERESES CUENTA AHORROS DÓLARES BANCO RESERVAS</t>
  </si>
  <si>
    <t>SEGUROS</t>
  </si>
  <si>
    <t>VIÁTICOS POR PAGAR A EMPLEADOS</t>
  </si>
  <si>
    <t>COMPENSACIONES DE ALMUERZO POR PAGAR</t>
  </si>
  <si>
    <t>TOTAL INVERSIONES EN PATRIMONIO INSTITUCIONAL</t>
  </si>
  <si>
    <t>----------------------------------------------------------------------------------------------------------------------------------------------------</t>
  </si>
  <si>
    <t>GANANCIA EN OPERACIONES CAMBIARIAS</t>
  </si>
  <si>
    <t>(PÉRDIDA) EN OPERACIONES CAMBIARIAS</t>
  </si>
  <si>
    <t>TRANSFERENCIAS CORRIENTES A LA ADMINISTRACIÓN CENTRAL</t>
  </si>
  <si>
    <t>CONTRATISTAS DE OBRAS</t>
  </si>
  <si>
    <t>Cuentas por cobrar mantenimiento edificio</t>
  </si>
  <si>
    <t>Inventarios</t>
  </si>
  <si>
    <t>NOVIEMBRE Y DICIEMBRE 2023</t>
  </si>
  <si>
    <t>ENERO - MARZO 2024</t>
  </si>
  <si>
    <t>ABRIL - OCTUBRE 2024</t>
  </si>
  <si>
    <t>Compensación almuerzo a militares Diciembre 2023</t>
  </si>
  <si>
    <t>Compensación horas extras Diciembre 2023</t>
  </si>
  <si>
    <t>Compensación almuerzo a empleados fijos Diciembre 2023</t>
  </si>
  <si>
    <t>Compensaciones de almuerzo por pagar</t>
  </si>
  <si>
    <t>VIATICOS POR PAGAR A EMPLEADOS</t>
  </si>
  <si>
    <t>Avances a futuras capializaciones</t>
  </si>
  <si>
    <t>Licencias de Software</t>
  </si>
  <si>
    <t>ENERO   - 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</si>
</sst>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-* #,##0.00_R_D_$_-;\-* #,##0.00_R_D_$_-;_-* &quot;-&quot;??_R_D_$_-;_-@_-"/>
    <numFmt numFmtId="167" formatCode="mmmm\ \-\ yyyy"/>
    <numFmt numFmtId="168" formatCode="_-* #,##0.00\ _P_t_s_-;\-* #,##0.00\ _P_t_s_-;_-* &quot;-&quot;??\ _P_t_s_-;_-@_-"/>
    <numFmt numFmtId="169" formatCode="_(* #,##0_);_(* \(#,##0\);_(* &quot;-&quot;??_);_(@_)"/>
    <numFmt numFmtId="170" formatCode="0.000000000"/>
    <numFmt numFmtId="171" formatCode="0.0000000000"/>
    <numFmt numFmtId="172" formatCode="0000\-00\-00"/>
    <numFmt numFmtId="173" formatCode="[$-409]d\-mmm\-yy;@"/>
    <numFmt numFmtId="174" formatCode="[$-409]dd\-mmm\-yy;@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7"/>
      <name val="Arial"/>
      <family val="2"/>
    </font>
    <font>
      <b/>
      <u val="singleAccounting"/>
      <sz val="12"/>
      <name val="Arial"/>
      <family val="2"/>
    </font>
    <font>
      <b/>
      <i/>
      <sz val="12"/>
      <name val="Arial"/>
      <family val="2"/>
    </font>
    <font>
      <b/>
      <u val="double"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color indexed="8"/>
      <name val="Calibri"/>
      <family val="2"/>
    </font>
    <font>
      <sz val="17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u val="singleAccounting"/>
      <sz val="12"/>
      <color theme="1"/>
      <name val="Arial"/>
      <family val="2"/>
    </font>
    <font>
      <b/>
      <sz val="12"/>
      <color rgb="FFFF0000"/>
      <name val="Arial"/>
      <family val="2"/>
    </font>
    <font>
      <u val="doubleAccounting"/>
      <sz val="12"/>
      <color theme="1"/>
      <name val="Arial"/>
      <family val="2"/>
    </font>
    <font>
      <u/>
      <sz val="12"/>
      <color theme="1"/>
      <name val="Arial"/>
      <family val="2"/>
    </font>
    <font>
      <b/>
      <u val="double"/>
      <sz val="12"/>
      <color theme="1"/>
      <name val="Arial"/>
      <family val="2"/>
    </font>
    <font>
      <sz val="12"/>
      <color theme="2" tint="-0.499984740745262"/>
      <name val="Arial"/>
      <family val="2"/>
    </font>
    <font>
      <u val="singleAccounting"/>
      <sz val="12"/>
      <color theme="1" tint="4.9989318521683403E-2"/>
      <name val="Arial"/>
      <family val="2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singleAccounting"/>
      <sz val="12"/>
      <color rgb="FFFF0000"/>
      <name val="Arial"/>
      <family val="2"/>
    </font>
    <font>
      <u/>
      <sz val="16"/>
      <color theme="1"/>
      <name val="Calibri"/>
      <family val="2"/>
      <scheme val="minor"/>
    </font>
    <font>
      <sz val="11"/>
      <color rgb="FFFF0000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  <font>
      <sz val="14"/>
      <color rgb="FFFF0000"/>
      <name val="Arial"/>
      <family val="2"/>
    </font>
    <font>
      <b/>
      <sz val="14"/>
      <color theme="4" tint="-0.249977111117893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Museo Sans 100"/>
      <family val="3"/>
    </font>
    <font>
      <b/>
      <sz val="10"/>
      <color rgb="FF000000"/>
      <name val="Museo Sans 100"/>
      <family val="3"/>
    </font>
    <font>
      <sz val="11"/>
      <color rgb="FF000000"/>
      <name val="Museo Sans 100"/>
      <family val="3"/>
    </font>
    <font>
      <sz val="10"/>
      <color rgb="FF000000"/>
      <name val="Museo Sans 100"/>
      <family val="3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4"/>
      <color theme="1"/>
      <name val="Arial"/>
      <family val="2"/>
    </font>
    <font>
      <b/>
      <u val="singleAccounting"/>
      <sz val="12"/>
      <color theme="1"/>
      <name val="Arial"/>
      <family val="2"/>
    </font>
    <font>
      <i/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8">
    <xf numFmtId="0" fontId="0" fillId="0" borderId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35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12" fillId="3" borderId="33" applyNumberFormat="0" applyFont="0" applyAlignment="0" applyProtection="0"/>
    <xf numFmtId="0" fontId="35" fillId="3" borderId="33" applyNumberFormat="0" applyFont="0" applyAlignment="0" applyProtection="0"/>
    <xf numFmtId="9" fontId="3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4" applyNumberFormat="0" applyFill="0" applyAlignment="0" applyProtection="0"/>
    <xf numFmtId="0" fontId="8" fillId="0" borderId="0"/>
    <xf numFmtId="165" fontId="8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9" fontId="7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6" fillId="2" borderId="0" applyNumberFormat="0" applyBorder="0" applyAlignment="0" applyProtection="0"/>
    <xf numFmtId="0" fontId="3" fillId="0" borderId="0"/>
    <xf numFmtId="0" fontId="3" fillId="3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547">
    <xf numFmtId="0" fontId="0" fillId="0" borderId="0" xfId="0"/>
    <xf numFmtId="0" fontId="13" fillId="0" borderId="0" xfId="0" applyFont="1"/>
    <xf numFmtId="165" fontId="13" fillId="0" borderId="0" xfId="4" applyFont="1"/>
    <xf numFmtId="165" fontId="13" fillId="0" borderId="1" xfId="4" applyFont="1" applyBorder="1"/>
    <xf numFmtId="165" fontId="13" fillId="0" borderId="0" xfId="4" applyFont="1" applyBorder="1"/>
    <xf numFmtId="165" fontId="13" fillId="0" borderId="0" xfId="4" applyFont="1" applyFill="1" applyBorder="1"/>
    <xf numFmtId="165" fontId="13" fillId="0" borderId="0" xfId="0" applyNumberFormat="1" applyFont="1"/>
    <xf numFmtId="4" fontId="13" fillId="0" borderId="0" xfId="0" applyNumberFormat="1" applyFont="1"/>
    <xf numFmtId="0" fontId="14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165" fontId="13" fillId="0" borderId="0" xfId="4" applyFont="1" applyFill="1"/>
    <xf numFmtId="165" fontId="11" fillId="0" borderId="0" xfId="4" applyFont="1" applyBorder="1"/>
    <xf numFmtId="165" fontId="13" fillId="0" borderId="2" xfId="4" applyFont="1" applyBorder="1"/>
    <xf numFmtId="0" fontId="13" fillId="0" borderId="0" xfId="0" applyFont="1" applyAlignment="1">
      <alignment horizontal="center"/>
    </xf>
    <xf numFmtId="165" fontId="11" fillId="0" borderId="3" xfId="4" applyFont="1" applyBorder="1"/>
    <xf numFmtId="0" fontId="15" fillId="0" borderId="0" xfId="0" applyFont="1" applyAlignment="1">
      <alignment horizontal="center"/>
    </xf>
    <xf numFmtId="165" fontId="11" fillId="0" borderId="0" xfId="4" applyFont="1"/>
    <xf numFmtId="165" fontId="39" fillId="0" borderId="0" xfId="4" applyFont="1"/>
    <xf numFmtId="0" fontId="13" fillId="0" borderId="0" xfId="0" applyFont="1" applyProtection="1">
      <protection locked="0"/>
    </xf>
    <xf numFmtId="165" fontId="13" fillId="0" borderId="0" xfId="4" applyFont="1" applyAlignment="1">
      <alignment horizontal="center"/>
    </xf>
    <xf numFmtId="171" fontId="13" fillId="0" borderId="0" xfId="0" applyNumberFormat="1" applyFont="1"/>
    <xf numFmtId="169" fontId="13" fillId="0" borderId="0" xfId="4" applyNumberFormat="1" applyFont="1"/>
    <xf numFmtId="170" fontId="13" fillId="0" borderId="0" xfId="0" applyNumberFormat="1" applyFont="1"/>
    <xf numFmtId="173" fontId="11" fillId="0" borderId="0" xfId="0" applyNumberFormat="1" applyFont="1" applyAlignment="1">
      <alignment horizontal="center"/>
    </xf>
    <xf numFmtId="0" fontId="13" fillId="0" borderId="2" xfId="0" applyFont="1" applyBorder="1"/>
    <xf numFmtId="165" fontId="11" fillId="0" borderId="2" xfId="4" applyFont="1" applyBorder="1"/>
    <xf numFmtId="165" fontId="17" fillId="0" borderId="2" xfId="4" applyFont="1" applyBorder="1"/>
    <xf numFmtId="0" fontId="13" fillId="0" borderId="4" xfId="0" applyFont="1" applyBorder="1"/>
    <xf numFmtId="165" fontId="13" fillId="0" borderId="4" xfId="4" applyFont="1" applyBorder="1"/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40" fillId="0" borderId="0" xfId="0" applyFont="1"/>
    <xf numFmtId="165" fontId="41" fillId="0" borderId="0" xfId="6" applyFont="1"/>
    <xf numFmtId="165" fontId="41" fillId="0" borderId="7" xfId="6" applyFont="1" applyBorder="1"/>
    <xf numFmtId="0" fontId="11" fillId="0" borderId="2" xfId="0" applyFont="1" applyBorder="1"/>
    <xf numFmtId="165" fontId="17" fillId="0" borderId="0" xfId="4" applyFont="1" applyBorder="1"/>
    <xf numFmtId="165" fontId="13" fillId="0" borderId="8" xfId="4" applyFont="1" applyBorder="1"/>
    <xf numFmtId="165" fontId="13" fillId="0" borderId="9" xfId="4" applyFont="1" applyBorder="1"/>
    <xf numFmtId="165" fontId="16" fillId="0" borderId="9" xfId="4" applyFont="1" applyBorder="1"/>
    <xf numFmtId="165" fontId="17" fillId="0" borderId="9" xfId="4" applyFont="1" applyBorder="1"/>
    <xf numFmtId="0" fontId="13" fillId="0" borderId="10" xfId="0" applyFont="1" applyBorder="1"/>
    <xf numFmtId="0" fontId="13" fillId="0" borderId="11" xfId="0" applyFont="1" applyBorder="1"/>
    <xf numFmtId="0" fontId="11" fillId="0" borderId="11" xfId="0" applyFont="1" applyBorder="1"/>
    <xf numFmtId="173" fontId="11" fillId="0" borderId="0" xfId="0" applyNumberFormat="1" applyFont="1"/>
    <xf numFmtId="14" fontId="11" fillId="0" borderId="0" xfId="0" applyNumberFormat="1" applyFont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3" fillId="0" borderId="1" xfId="0" applyFont="1" applyBorder="1"/>
    <xf numFmtId="0" fontId="13" fillId="0" borderId="13" xfId="0" applyFont="1" applyBorder="1"/>
    <xf numFmtId="0" fontId="11" fillId="0" borderId="13" xfId="0" applyFont="1" applyBorder="1"/>
    <xf numFmtId="0" fontId="13" fillId="0" borderId="14" xfId="0" applyFont="1" applyBorder="1"/>
    <xf numFmtId="0" fontId="13" fillId="0" borderId="15" xfId="0" applyFont="1" applyBorder="1"/>
    <xf numFmtId="0" fontId="13" fillId="0" borderId="16" xfId="0" applyFont="1" applyBorder="1"/>
    <xf numFmtId="0" fontId="42" fillId="0" borderId="11" xfId="0" applyFont="1" applyBorder="1"/>
    <xf numFmtId="165" fontId="16" fillId="0" borderId="2" xfId="4" applyFont="1" applyBorder="1"/>
    <xf numFmtId="0" fontId="11" fillId="0" borderId="14" xfId="0" applyFont="1" applyBorder="1"/>
    <xf numFmtId="165" fontId="11" fillId="0" borderId="17" xfId="4" applyFont="1" applyBorder="1"/>
    <xf numFmtId="165" fontId="16" fillId="0" borderId="0" xfId="4" applyFont="1"/>
    <xf numFmtId="0" fontId="39" fillId="0" borderId="0" xfId="0" applyFont="1"/>
    <xf numFmtId="0" fontId="11" fillId="4" borderId="18" xfId="0" applyFont="1" applyFill="1" applyBorder="1" applyAlignment="1">
      <alignment horizontal="center"/>
    </xf>
    <xf numFmtId="0" fontId="43" fillId="4" borderId="5" xfId="0" applyFont="1" applyFill="1" applyBorder="1" applyAlignment="1">
      <alignment horizontal="center"/>
    </xf>
    <xf numFmtId="0" fontId="43" fillId="4" borderId="1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5" fontId="44" fillId="0" borderId="2" xfId="4" applyFont="1" applyBorder="1"/>
    <xf numFmtId="14" fontId="13" fillId="0" borderId="4" xfId="0" applyNumberFormat="1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0" fontId="42" fillId="0" borderId="0" xfId="0" applyFont="1"/>
    <xf numFmtId="0" fontId="43" fillId="0" borderId="0" xfId="0" applyFont="1"/>
    <xf numFmtId="165" fontId="42" fillId="0" borderId="2" xfId="6" applyFont="1" applyBorder="1"/>
    <xf numFmtId="0" fontId="42" fillId="0" borderId="2" xfId="0" applyFont="1" applyBorder="1"/>
    <xf numFmtId="0" fontId="42" fillId="0" borderId="2" xfId="0" applyFont="1" applyBorder="1" applyAlignment="1">
      <alignment horizontal="center"/>
    </xf>
    <xf numFmtId="165" fontId="42" fillId="0" borderId="0" xfId="6" applyFont="1"/>
    <xf numFmtId="165" fontId="42" fillId="0" borderId="10" xfId="6" applyFont="1" applyBorder="1"/>
    <xf numFmtId="165" fontId="42" fillId="0" borderId="8" xfId="6" applyFont="1" applyBorder="1"/>
    <xf numFmtId="165" fontId="42" fillId="0" borderId="11" xfId="6" applyFont="1" applyBorder="1"/>
    <xf numFmtId="165" fontId="42" fillId="0" borderId="9" xfId="6" applyFont="1" applyBorder="1"/>
    <xf numFmtId="165" fontId="45" fillId="0" borderId="9" xfId="6" applyFont="1" applyBorder="1"/>
    <xf numFmtId="165" fontId="43" fillId="0" borderId="11" xfId="6" applyFont="1" applyBorder="1"/>
    <xf numFmtId="165" fontId="42" fillId="0" borderId="14" xfId="6" applyFont="1" applyBorder="1"/>
    <xf numFmtId="165" fontId="42" fillId="0" borderId="16" xfId="6" applyFont="1" applyBorder="1"/>
    <xf numFmtId="0" fontId="13" fillId="0" borderId="2" xfId="0" applyFont="1" applyBorder="1" applyAlignment="1">
      <alignment horizontal="left" wrapText="1"/>
    </xf>
    <xf numFmtId="0" fontId="22" fillId="0" borderId="2" xfId="0" applyFont="1" applyBorder="1"/>
    <xf numFmtId="0" fontId="22" fillId="0" borderId="2" xfId="0" applyFont="1" applyBorder="1" applyAlignment="1">
      <alignment wrapText="1"/>
    </xf>
    <xf numFmtId="4" fontId="11" fillId="0" borderId="0" xfId="0" applyNumberFormat="1" applyFont="1"/>
    <xf numFmtId="4" fontId="39" fillId="0" borderId="0" xfId="0" applyNumberFormat="1" applyFont="1"/>
    <xf numFmtId="0" fontId="46" fillId="0" borderId="0" xfId="0" applyFont="1"/>
    <xf numFmtId="0" fontId="13" fillId="0" borderId="4" xfId="0" applyFont="1" applyBorder="1" applyAlignment="1">
      <alignment horizontal="left"/>
    </xf>
    <xf numFmtId="0" fontId="11" fillId="4" borderId="19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165" fontId="44" fillId="0" borderId="9" xfId="6" applyFont="1" applyBorder="1"/>
    <xf numFmtId="165" fontId="42" fillId="0" borderId="0" xfId="4" applyFont="1"/>
    <xf numFmtId="165" fontId="45" fillId="0" borderId="2" xfId="6" applyFont="1" applyBorder="1"/>
    <xf numFmtId="165" fontId="16" fillId="0" borderId="0" xfId="4" applyFont="1" applyBorder="1"/>
    <xf numFmtId="4" fontId="48" fillId="0" borderId="2" xfId="18" applyNumberFormat="1" applyFont="1" applyBorder="1"/>
    <xf numFmtId="165" fontId="11" fillId="0" borderId="0" xfId="4" applyFont="1" applyFill="1" applyAlignment="1">
      <alignment horizontal="center"/>
    </xf>
    <xf numFmtId="165" fontId="11" fillId="4" borderId="17" xfId="6" applyFont="1" applyFill="1" applyBorder="1" applyAlignment="1">
      <alignment horizontal="center"/>
    </xf>
    <xf numFmtId="49" fontId="13" fillId="0" borderId="20" xfId="0" applyNumberFormat="1" applyFont="1" applyBorder="1"/>
    <xf numFmtId="165" fontId="13" fillId="0" borderId="21" xfId="4" applyFont="1" applyBorder="1"/>
    <xf numFmtId="0" fontId="11" fillId="0" borderId="22" xfId="0" applyFont="1" applyBorder="1"/>
    <xf numFmtId="165" fontId="17" fillId="0" borderId="23" xfId="4" applyFont="1" applyBorder="1"/>
    <xf numFmtId="0" fontId="13" fillId="0" borderId="24" xfId="0" applyFont="1" applyBorder="1"/>
    <xf numFmtId="0" fontId="13" fillId="0" borderId="3" xfId="0" applyFont="1" applyBorder="1"/>
    <xf numFmtId="165" fontId="13" fillId="0" borderId="25" xfId="4" applyFont="1" applyBorder="1"/>
    <xf numFmtId="0" fontId="13" fillId="0" borderId="20" xfId="0" applyFont="1" applyBorder="1"/>
    <xf numFmtId="165" fontId="16" fillId="0" borderId="21" xfId="4" applyFont="1" applyBorder="1"/>
    <xf numFmtId="0" fontId="11" fillId="0" borderId="26" xfId="0" applyFont="1" applyBorder="1"/>
    <xf numFmtId="0" fontId="11" fillId="0" borderId="1" xfId="0" applyFont="1" applyBorder="1"/>
    <xf numFmtId="165" fontId="17" fillId="0" borderId="27" xfId="4" applyFont="1" applyBorder="1"/>
    <xf numFmtId="0" fontId="13" fillId="4" borderId="0" xfId="0" applyFont="1" applyFill="1"/>
    <xf numFmtId="165" fontId="13" fillId="4" borderId="0" xfId="4" applyFont="1" applyFill="1"/>
    <xf numFmtId="165" fontId="44" fillId="0" borderId="0" xfId="4" applyFont="1"/>
    <xf numFmtId="0" fontId="13" fillId="5" borderId="0" xfId="0" applyFont="1" applyFill="1"/>
    <xf numFmtId="165" fontId="43" fillId="0" borderId="0" xfId="4" applyFont="1"/>
    <xf numFmtId="0" fontId="13" fillId="5" borderId="2" xfId="0" applyFont="1" applyFill="1" applyBorder="1"/>
    <xf numFmtId="14" fontId="13" fillId="5" borderId="2" xfId="0" applyNumberFormat="1" applyFont="1" applyFill="1" applyBorder="1" applyAlignment="1">
      <alignment horizontal="center"/>
    </xf>
    <xf numFmtId="0" fontId="13" fillId="5" borderId="4" xfId="0" applyFont="1" applyFill="1" applyBorder="1"/>
    <xf numFmtId="0" fontId="13" fillId="5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165" fontId="11" fillId="5" borderId="6" xfId="6" applyFont="1" applyFill="1" applyBorder="1" applyAlignment="1">
      <alignment horizontal="center"/>
    </xf>
    <xf numFmtId="14" fontId="13" fillId="5" borderId="4" xfId="0" applyNumberFormat="1" applyFont="1" applyFill="1" applyBorder="1" applyAlignment="1">
      <alignment horizontal="center"/>
    </xf>
    <xf numFmtId="49" fontId="13" fillId="5" borderId="10" xfId="0" applyNumberFormat="1" applyFont="1" applyFill="1" applyBorder="1"/>
    <xf numFmtId="165" fontId="13" fillId="5" borderId="8" xfId="6" applyFont="1" applyFill="1" applyBorder="1"/>
    <xf numFmtId="0" fontId="11" fillId="5" borderId="14" xfId="0" applyFont="1" applyFill="1" applyBorder="1"/>
    <xf numFmtId="0" fontId="11" fillId="5" borderId="17" xfId="0" applyFont="1" applyFill="1" applyBorder="1"/>
    <xf numFmtId="165" fontId="17" fillId="5" borderId="16" xfId="6" applyFont="1" applyFill="1" applyBorder="1"/>
    <xf numFmtId="0" fontId="13" fillId="5" borderId="10" xfId="0" applyFont="1" applyFill="1" applyBorder="1"/>
    <xf numFmtId="0" fontId="13" fillId="5" borderId="11" xfId="0" applyFont="1" applyFill="1" applyBorder="1"/>
    <xf numFmtId="165" fontId="16" fillId="5" borderId="9" xfId="6" applyFont="1" applyFill="1" applyBorder="1"/>
    <xf numFmtId="165" fontId="16" fillId="5" borderId="8" xfId="6" applyFont="1" applyFill="1" applyBorder="1"/>
    <xf numFmtId="165" fontId="13" fillId="0" borderId="16" xfId="4" applyFont="1" applyBorder="1"/>
    <xf numFmtId="17" fontId="11" fillId="0" borderId="0" xfId="0" applyNumberFormat="1" applyFont="1"/>
    <xf numFmtId="165" fontId="11" fillId="0" borderId="9" xfId="4" applyFont="1" applyBorder="1"/>
    <xf numFmtId="0" fontId="25" fillId="6" borderId="12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165" fontId="24" fillId="0" borderId="2" xfId="4" applyFont="1" applyBorder="1"/>
    <xf numFmtId="165" fontId="13" fillId="0" borderId="4" xfId="4" applyFont="1" applyFill="1" applyBorder="1"/>
    <xf numFmtId="165" fontId="24" fillId="0" borderId="9" xfId="4" applyFont="1" applyBorder="1"/>
    <xf numFmtId="165" fontId="13" fillId="0" borderId="17" xfId="4" applyFont="1" applyBorder="1"/>
    <xf numFmtId="0" fontId="39" fillId="0" borderId="0" xfId="0" applyFont="1" applyAlignment="1">
      <alignment horizontal="center"/>
    </xf>
    <xf numFmtId="165" fontId="39" fillId="0" borderId="0" xfId="6" applyFont="1"/>
    <xf numFmtId="14" fontId="11" fillId="0" borderId="0" xfId="0" applyNumberFormat="1" applyFont="1"/>
    <xf numFmtId="0" fontId="42" fillId="0" borderId="0" xfId="18" applyFont="1"/>
    <xf numFmtId="0" fontId="42" fillId="0" borderId="11" xfId="18" applyFont="1" applyBorder="1"/>
    <xf numFmtId="0" fontId="43" fillId="0" borderId="11" xfId="18" applyFont="1" applyBorder="1"/>
    <xf numFmtId="0" fontId="42" fillId="0" borderId="10" xfId="18" applyFont="1" applyBorder="1"/>
    <xf numFmtId="4" fontId="26" fillId="0" borderId="9" xfId="0" applyNumberFormat="1" applyFont="1" applyBorder="1"/>
    <xf numFmtId="165" fontId="13" fillId="0" borderId="16" xfId="0" applyNumberFormat="1" applyFont="1" applyBorder="1"/>
    <xf numFmtId="4" fontId="49" fillId="0" borderId="9" xfId="18" applyNumberFormat="1" applyFont="1" applyBorder="1"/>
    <xf numFmtId="0" fontId="11" fillId="0" borderId="28" xfId="0" applyFont="1" applyBorder="1" applyAlignment="1">
      <alignment horizontal="center"/>
    </xf>
    <xf numFmtId="165" fontId="11" fillId="0" borderId="29" xfId="4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165" fontId="11" fillId="0" borderId="28" xfId="4" applyFont="1" applyBorder="1" applyAlignment="1">
      <alignment horizontal="center"/>
    </xf>
    <xf numFmtId="165" fontId="11" fillId="0" borderId="0" xfId="4" applyFont="1" applyAlignment="1"/>
    <xf numFmtId="0" fontId="13" fillId="0" borderId="28" xfId="0" applyFont="1" applyBorder="1"/>
    <xf numFmtId="165" fontId="13" fillId="0" borderId="28" xfId="4" applyFont="1" applyBorder="1"/>
    <xf numFmtId="171" fontId="13" fillId="0" borderId="28" xfId="0" applyNumberFormat="1" applyFont="1" applyBorder="1"/>
    <xf numFmtId="43" fontId="42" fillId="0" borderId="0" xfId="7" applyFont="1"/>
    <xf numFmtId="165" fontId="11" fillId="0" borderId="3" xfId="4" applyFont="1" applyBorder="1" applyAlignment="1">
      <alignment horizontal="center"/>
    </xf>
    <xf numFmtId="169" fontId="13" fillId="0" borderId="0" xfId="4" applyNumberFormat="1" applyFont="1" applyBorder="1"/>
    <xf numFmtId="165" fontId="11" fillId="0" borderId="2" xfId="0" applyNumberFormat="1" applyFont="1" applyBorder="1"/>
    <xf numFmtId="165" fontId="42" fillId="0" borderId="0" xfId="6" applyFont="1" applyAlignment="1">
      <alignment horizontal="right"/>
    </xf>
    <xf numFmtId="0" fontId="43" fillId="0" borderId="0" xfId="18" applyFont="1" applyAlignment="1">
      <alignment horizontal="center"/>
    </xf>
    <xf numFmtId="0" fontId="43" fillId="0" borderId="0" xfId="18" quotePrefix="1" applyFont="1" applyAlignment="1">
      <alignment horizontal="left"/>
    </xf>
    <xf numFmtId="0" fontId="11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165" fontId="11" fillId="0" borderId="0" xfId="4" applyFont="1" applyFill="1"/>
    <xf numFmtId="0" fontId="11" fillId="0" borderId="0" xfId="0" applyFont="1" applyAlignment="1">
      <alignment horizontal="left" indent="3"/>
    </xf>
    <xf numFmtId="16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top"/>
    </xf>
    <xf numFmtId="165" fontId="13" fillId="0" borderId="0" xfId="4" applyFont="1" applyAlignment="1">
      <alignment vertical="top"/>
    </xf>
    <xf numFmtId="165" fontId="50" fillId="0" borderId="0" xfId="4" applyFont="1" applyAlignment="1">
      <alignment vertical="top"/>
    </xf>
    <xf numFmtId="0" fontId="13" fillId="0" borderId="0" xfId="0" applyFont="1" applyAlignment="1" applyProtection="1">
      <alignment vertical="top"/>
      <protection locked="0"/>
    </xf>
    <xf numFmtId="165" fontId="13" fillId="0" borderId="0" xfId="4" applyFont="1" applyAlignment="1">
      <alignment horizontal="center" vertical="top"/>
    </xf>
    <xf numFmtId="165" fontId="13" fillId="0" borderId="9" xfId="6" applyFont="1" applyBorder="1" applyAlignment="1">
      <alignment horizontal="right"/>
    </xf>
    <xf numFmtId="4" fontId="13" fillId="0" borderId="0" xfId="18" applyNumberFormat="1" applyFont="1"/>
    <xf numFmtId="0" fontId="27" fillId="6" borderId="5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wrapText="1"/>
    </xf>
    <xf numFmtId="165" fontId="11" fillId="0" borderId="2" xfId="4" applyFont="1" applyFill="1" applyBorder="1"/>
    <xf numFmtId="165" fontId="13" fillId="0" borderId="2" xfId="4" applyFont="1" applyFill="1" applyBorder="1"/>
    <xf numFmtId="165" fontId="16" fillId="0" borderId="2" xfId="4" applyFont="1" applyFill="1" applyBorder="1"/>
    <xf numFmtId="165" fontId="24" fillId="0" borderId="2" xfId="4" applyFont="1" applyFill="1" applyBorder="1"/>
    <xf numFmtId="165" fontId="17" fillId="0" borderId="2" xfId="4" applyFont="1" applyFill="1" applyBorder="1"/>
    <xf numFmtId="165" fontId="13" fillId="0" borderId="17" xfId="4" applyFont="1" applyFill="1" applyBorder="1"/>
    <xf numFmtId="165" fontId="28" fillId="0" borderId="0" xfId="4" applyFont="1"/>
    <xf numFmtId="17" fontId="29" fillId="0" borderId="0" xfId="0" applyNumberFormat="1" applyFont="1"/>
    <xf numFmtId="165" fontId="16" fillId="0" borderId="4" xfId="4" applyFont="1" applyFill="1" applyBorder="1"/>
    <xf numFmtId="165" fontId="14" fillId="0" borderId="0" xfId="0" applyNumberFormat="1" applyFont="1"/>
    <xf numFmtId="165" fontId="39" fillId="0" borderId="0" xfId="0" applyNumberFormat="1" applyFont="1"/>
    <xf numFmtId="165" fontId="28" fillId="0" borderId="0" xfId="6" applyFont="1"/>
    <xf numFmtId="0" fontId="27" fillId="7" borderId="5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165" fontId="13" fillId="0" borderId="4" xfId="6" applyFont="1" applyBorder="1"/>
    <xf numFmtId="165" fontId="13" fillId="0" borderId="4" xfId="6" applyFont="1" applyFill="1" applyBorder="1"/>
    <xf numFmtId="165" fontId="13" fillId="0" borderId="8" xfId="6" applyFont="1" applyBorder="1"/>
    <xf numFmtId="165" fontId="13" fillId="0" borderId="2" xfId="6" applyFont="1" applyFill="1" applyBorder="1"/>
    <xf numFmtId="165" fontId="13" fillId="0" borderId="2" xfId="6" applyFont="1" applyBorder="1"/>
    <xf numFmtId="165" fontId="13" fillId="0" borderId="9" xfId="6" applyFont="1" applyBorder="1"/>
    <xf numFmtId="165" fontId="16" fillId="0" borderId="2" xfId="6" applyFont="1" applyFill="1" applyBorder="1"/>
    <xf numFmtId="165" fontId="16" fillId="0" borderId="4" xfId="6" applyFont="1" applyFill="1" applyBorder="1"/>
    <xf numFmtId="165" fontId="16" fillId="0" borderId="2" xfId="6" applyFont="1" applyBorder="1"/>
    <xf numFmtId="165" fontId="16" fillId="0" borderId="9" xfId="6" applyFont="1" applyBorder="1"/>
    <xf numFmtId="165" fontId="11" fillId="0" borderId="2" xfId="6" applyFont="1" applyBorder="1"/>
    <xf numFmtId="165" fontId="11" fillId="0" borderId="2" xfId="6" applyFont="1" applyFill="1" applyBorder="1"/>
    <xf numFmtId="165" fontId="11" fillId="0" borderId="9" xfId="6" applyFont="1" applyFill="1" applyBorder="1"/>
    <xf numFmtId="165" fontId="11" fillId="0" borderId="9" xfId="6" applyFont="1" applyBorder="1"/>
    <xf numFmtId="165" fontId="51" fillId="0" borderId="4" xfId="6" applyFont="1" applyFill="1" applyBorder="1"/>
    <xf numFmtId="165" fontId="24" fillId="0" borderId="2" xfId="6" applyFont="1" applyBorder="1"/>
    <xf numFmtId="165" fontId="24" fillId="0" borderId="2" xfId="6" applyFont="1" applyFill="1" applyBorder="1"/>
    <xf numFmtId="165" fontId="24" fillId="0" borderId="9" xfId="6" applyFont="1" applyFill="1" applyBorder="1"/>
    <xf numFmtId="165" fontId="17" fillId="0" borderId="2" xfId="6" applyFont="1" applyBorder="1"/>
    <xf numFmtId="165" fontId="17" fillId="0" borderId="9" xfId="6" applyFont="1" applyBorder="1"/>
    <xf numFmtId="165" fontId="13" fillId="0" borderId="17" xfId="6" applyFont="1" applyBorder="1"/>
    <xf numFmtId="165" fontId="13" fillId="0" borderId="17" xfId="6" applyFont="1" applyFill="1" applyBorder="1"/>
    <xf numFmtId="165" fontId="13" fillId="0" borderId="16" xfId="6" applyFont="1" applyBorder="1"/>
    <xf numFmtId="165" fontId="13" fillId="0" borderId="0" xfId="6" applyFont="1"/>
    <xf numFmtId="0" fontId="27" fillId="8" borderId="5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165" fontId="16" fillId="0" borderId="8" xfId="6" applyFont="1" applyBorder="1"/>
    <xf numFmtId="165" fontId="0" fillId="0" borderId="0" xfId="4" applyFont="1" applyFill="1"/>
    <xf numFmtId="165" fontId="0" fillId="0" borderId="0" xfId="0" applyNumberFormat="1"/>
    <xf numFmtId="0" fontId="40" fillId="0" borderId="0" xfId="0" applyFont="1" applyAlignment="1">
      <alignment vertical="center"/>
    </xf>
    <xf numFmtId="0" fontId="52" fillId="0" borderId="0" xfId="0" applyFont="1" applyAlignment="1">
      <alignment wrapText="1"/>
    </xf>
    <xf numFmtId="165" fontId="53" fillId="0" borderId="0" xfId="6" applyFont="1" applyAlignment="1">
      <alignment wrapText="1"/>
    </xf>
    <xf numFmtId="0" fontId="52" fillId="0" borderId="0" xfId="0" applyFont="1"/>
    <xf numFmtId="165" fontId="53" fillId="0" borderId="0" xfId="6" applyFont="1"/>
    <xf numFmtId="0" fontId="53" fillId="0" borderId="0" xfId="0" applyFont="1"/>
    <xf numFmtId="165" fontId="41" fillId="0" borderId="0" xfId="6" applyFont="1" applyBorder="1"/>
    <xf numFmtId="0" fontId="9" fillId="0" borderId="0" xfId="0" applyFont="1"/>
    <xf numFmtId="165" fontId="19" fillId="0" borderId="0" xfId="4" applyFont="1"/>
    <xf numFmtId="165" fontId="19" fillId="0" borderId="7" xfId="4" applyFont="1" applyBorder="1"/>
    <xf numFmtId="165" fontId="54" fillId="0" borderId="0" xfId="6" applyFont="1"/>
    <xf numFmtId="165" fontId="54" fillId="0" borderId="7" xfId="6" applyFont="1" applyBorder="1"/>
    <xf numFmtId="165" fontId="55" fillId="0" borderId="0" xfId="6" applyFont="1"/>
    <xf numFmtId="165" fontId="0" fillId="0" borderId="0" xfId="6" applyFont="1"/>
    <xf numFmtId="165" fontId="39" fillId="0" borderId="0" xfId="4" applyFont="1" applyAlignment="1">
      <alignment horizontal="center"/>
    </xf>
    <xf numFmtId="165" fontId="31" fillId="0" borderId="0" xfId="4" applyFont="1"/>
    <xf numFmtId="165" fontId="32" fillId="0" borderId="0" xfId="4" applyFont="1"/>
    <xf numFmtId="0" fontId="9" fillId="9" borderId="30" xfId="0" applyFont="1" applyFill="1" applyBorder="1"/>
    <xf numFmtId="165" fontId="41" fillId="9" borderId="31" xfId="6" applyFont="1" applyFill="1" applyBorder="1"/>
    <xf numFmtId="165" fontId="11" fillId="0" borderId="7" xfId="0" applyNumberFormat="1" applyFont="1" applyBorder="1"/>
    <xf numFmtId="165" fontId="35" fillId="0" borderId="0" xfId="4" applyFont="1"/>
    <xf numFmtId="0" fontId="35" fillId="0" borderId="0" xfId="18"/>
    <xf numFmtId="165" fontId="11" fillId="0" borderId="0" xfId="4" applyFont="1" applyFill="1" applyBorder="1"/>
    <xf numFmtId="165" fontId="44" fillId="0" borderId="2" xfId="0" applyNumberFormat="1" applyFont="1" applyBorder="1"/>
    <xf numFmtId="0" fontId="44" fillId="0" borderId="2" xfId="0" applyFont="1" applyBorder="1"/>
    <xf numFmtId="165" fontId="44" fillId="0" borderId="0" xfId="4" applyFont="1" applyBorder="1"/>
    <xf numFmtId="165" fontId="56" fillId="0" borderId="0" xfId="4" applyFont="1"/>
    <xf numFmtId="0" fontId="53" fillId="6" borderId="0" xfId="0" applyFont="1" applyFill="1" applyAlignment="1">
      <alignment horizontal="center"/>
    </xf>
    <xf numFmtId="0" fontId="57" fillId="6" borderId="0" xfId="0" applyFont="1" applyFill="1" applyAlignment="1">
      <alignment horizontal="center"/>
    </xf>
    <xf numFmtId="165" fontId="57" fillId="6" borderId="0" xfId="6" applyFont="1" applyFill="1" applyAlignment="1">
      <alignment horizontal="center"/>
    </xf>
    <xf numFmtId="0" fontId="58" fillId="0" borderId="0" xfId="0" applyFont="1" applyAlignment="1">
      <alignment horizontal="center" vertical="center"/>
    </xf>
    <xf numFmtId="0" fontId="13" fillId="11" borderId="0" xfId="0" applyFont="1" applyFill="1"/>
    <xf numFmtId="165" fontId="13" fillId="11" borderId="0" xfId="0" applyNumberFormat="1" applyFont="1" applyFill="1"/>
    <xf numFmtId="0" fontId="46" fillId="12" borderId="0" xfId="0" applyFont="1" applyFill="1" applyAlignment="1">
      <alignment horizontal="center" vertical="center"/>
    </xf>
    <xf numFmtId="4" fontId="14" fillId="0" borderId="0" xfId="0" applyNumberFormat="1" applyFont="1"/>
    <xf numFmtId="165" fontId="11" fillId="0" borderId="0" xfId="4" applyFont="1" applyFill="1" applyAlignment="1"/>
    <xf numFmtId="0" fontId="11" fillId="4" borderId="5" xfId="0" applyFont="1" applyFill="1" applyBorder="1" applyAlignment="1">
      <alignment horizontal="center" vertical="center" wrapText="1"/>
    </xf>
    <xf numFmtId="165" fontId="24" fillId="0" borderId="9" xfId="6" applyFont="1" applyBorder="1"/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14" fontId="6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65" fontId="0" fillId="0" borderId="0" xfId="4" applyFont="1"/>
    <xf numFmtId="0" fontId="11" fillId="0" borderId="0" xfId="0" applyFont="1" applyAlignment="1">
      <alignment wrapText="1"/>
    </xf>
    <xf numFmtId="0" fontId="42" fillId="0" borderId="0" xfId="18" applyFont="1" applyAlignment="1">
      <alignment horizontal="center"/>
    </xf>
    <xf numFmtId="165" fontId="42" fillId="0" borderId="0" xfId="4" applyFont="1" applyFill="1"/>
    <xf numFmtId="0" fontId="18" fillId="0" borderId="0" xfId="0" applyFont="1"/>
    <xf numFmtId="0" fontId="18" fillId="0" borderId="0" xfId="0" applyFont="1" applyAlignment="1">
      <alignment horizontal="center"/>
    </xf>
    <xf numFmtId="0" fontId="33" fillId="0" borderId="0" xfId="0" applyFont="1"/>
    <xf numFmtId="165" fontId="33" fillId="0" borderId="0" xfId="4" applyFont="1"/>
    <xf numFmtId="165" fontId="33" fillId="0" borderId="0" xfId="0" applyNumberFormat="1" applyFont="1"/>
    <xf numFmtId="165" fontId="18" fillId="0" borderId="13" xfId="4" applyFont="1" applyBorder="1" applyAlignment="1">
      <alignment horizontal="center" vertical="center" wrapText="1"/>
    </xf>
    <xf numFmtId="165" fontId="43" fillId="0" borderId="0" xfId="18" applyNumberFormat="1" applyFont="1" applyAlignment="1">
      <alignment horizontal="center"/>
    </xf>
    <xf numFmtId="0" fontId="33" fillId="0" borderId="0" xfId="0" applyFont="1" applyAlignment="1">
      <alignment horizontal="center"/>
    </xf>
    <xf numFmtId="165" fontId="13" fillId="0" borderId="0" xfId="4" applyFont="1" applyAlignment="1"/>
    <xf numFmtId="165" fontId="39" fillId="0" borderId="0" xfId="4" applyFont="1" applyAlignment="1"/>
    <xf numFmtId="0" fontId="15" fillId="0" borderId="0" xfId="0" applyFont="1"/>
    <xf numFmtId="165" fontId="11" fillId="0" borderId="3" xfId="4" applyFont="1" applyBorder="1" applyAlignment="1"/>
    <xf numFmtId="165" fontId="13" fillId="0" borderId="0" xfId="4" applyFont="1" applyBorder="1" applyAlignment="1"/>
    <xf numFmtId="165" fontId="13" fillId="0" borderId="1" xfId="4" applyFont="1" applyBorder="1" applyAlignment="1"/>
    <xf numFmtId="165" fontId="11" fillId="0" borderId="7" xfId="4" applyFont="1" applyBorder="1" applyAlignment="1"/>
    <xf numFmtId="165" fontId="50" fillId="0" borderId="0" xfId="4" applyFont="1" applyAlignment="1"/>
    <xf numFmtId="165" fontId="13" fillId="0" borderId="0" xfId="4" applyFont="1" applyFill="1" applyAlignment="1"/>
    <xf numFmtId="165" fontId="13" fillId="0" borderId="0" xfId="4" applyFont="1" applyFill="1" applyBorder="1" applyAlignment="1"/>
    <xf numFmtId="0" fontId="11" fillId="0" borderId="0" xfId="0" applyFont="1" applyAlignment="1">
      <alignment horizontal="left"/>
    </xf>
    <xf numFmtId="165" fontId="33" fillId="0" borderId="0" xfId="4" applyFont="1" applyFill="1"/>
    <xf numFmtId="0" fontId="61" fillId="0" borderId="0" xfId="0" applyFont="1"/>
    <xf numFmtId="14" fontId="33" fillId="0" borderId="0" xfId="0" applyNumberFormat="1" applyFont="1"/>
    <xf numFmtId="167" fontId="33" fillId="0" borderId="0" xfId="0" applyNumberFormat="1" applyFont="1" applyAlignment="1" applyProtection="1">
      <alignment horizontal="center"/>
      <protection locked="0"/>
    </xf>
    <xf numFmtId="167" fontId="33" fillId="0" borderId="0" xfId="0" applyNumberFormat="1" applyFont="1" applyAlignment="1">
      <alignment horizontal="center"/>
    </xf>
    <xf numFmtId="0" fontId="33" fillId="0" borderId="0" xfId="0" applyFont="1" applyAlignment="1">
      <alignment vertical="center"/>
    </xf>
    <xf numFmtId="165" fontId="33" fillId="0" borderId="0" xfId="4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/>
    <xf numFmtId="49" fontId="18" fillId="0" borderId="0" xfId="0" applyNumberFormat="1" applyFont="1" applyProtection="1">
      <protection locked="0"/>
    </xf>
    <xf numFmtId="167" fontId="33" fillId="0" borderId="0" xfId="0" applyNumberFormat="1" applyFont="1" applyProtection="1">
      <protection locked="0"/>
    </xf>
    <xf numFmtId="165" fontId="33" fillId="0" borderId="0" xfId="4" applyFont="1" applyAlignment="1"/>
    <xf numFmtId="0" fontId="59" fillId="0" borderId="0" xfId="18" applyFont="1"/>
    <xf numFmtId="0" fontId="18" fillId="13" borderId="2" xfId="0" applyFont="1" applyFill="1" applyBorder="1" applyAlignment="1">
      <alignment horizontal="center"/>
    </xf>
    <xf numFmtId="4" fontId="42" fillId="0" borderId="9" xfId="18" applyNumberFormat="1" applyFont="1" applyBorder="1"/>
    <xf numFmtId="165" fontId="13" fillId="0" borderId="14" xfId="0" applyNumberFormat="1" applyFont="1" applyBorder="1"/>
    <xf numFmtId="165" fontId="8" fillId="0" borderId="0" xfId="35" applyFont="1" applyAlignment="1">
      <alignment horizontal="right"/>
    </xf>
    <xf numFmtId="0" fontId="13" fillId="0" borderId="36" xfId="0" applyFont="1" applyBorder="1"/>
    <xf numFmtId="165" fontId="11" fillId="0" borderId="38" xfId="4" applyFont="1" applyBorder="1"/>
    <xf numFmtId="49" fontId="14" fillId="5" borderId="10" xfId="0" applyNumberFormat="1" applyFont="1" applyFill="1" applyBorder="1"/>
    <xf numFmtId="0" fontId="14" fillId="0" borderId="0" xfId="0" applyFont="1" applyAlignment="1">
      <alignment horizontal="center"/>
    </xf>
    <xf numFmtId="0" fontId="14" fillId="5" borderId="4" xfId="0" applyFont="1" applyFill="1" applyBorder="1" applyAlignment="1">
      <alignment vertical="center"/>
    </xf>
    <xf numFmtId="165" fontId="13" fillId="0" borderId="13" xfId="4" applyFont="1" applyBorder="1"/>
    <xf numFmtId="165" fontId="46" fillId="0" borderId="0" xfId="4" applyFont="1"/>
    <xf numFmtId="0" fontId="0" fillId="0" borderId="7" xfId="0" applyBorder="1"/>
    <xf numFmtId="165" fontId="42" fillId="14" borderId="0" xfId="4" applyFont="1" applyFill="1"/>
    <xf numFmtId="165" fontId="13" fillId="14" borderId="0" xfId="0" applyNumberFormat="1" applyFont="1" applyFill="1"/>
    <xf numFmtId="165" fontId="13" fillId="14" borderId="7" xfId="0" applyNumberFormat="1" applyFont="1" applyFill="1" applyBorder="1"/>
    <xf numFmtId="0" fontId="65" fillId="0" borderId="0" xfId="0" applyFont="1" applyAlignment="1">
      <alignment vertical="center"/>
    </xf>
    <xf numFmtId="0" fontId="65" fillId="10" borderId="31" xfId="0" applyFont="1" applyFill="1" applyBorder="1" applyAlignment="1">
      <alignment horizontal="center" vertical="center"/>
    </xf>
    <xf numFmtId="0" fontId="65" fillId="10" borderId="39" xfId="0" applyFont="1" applyFill="1" applyBorder="1" applyAlignment="1">
      <alignment horizontal="center" vertical="center"/>
    </xf>
    <xf numFmtId="0" fontId="65" fillId="10" borderId="39" xfId="0" applyFont="1" applyFill="1" applyBorder="1" applyAlignment="1">
      <alignment horizontal="center" vertical="center" wrapText="1"/>
    </xf>
    <xf numFmtId="0" fontId="66" fillId="10" borderId="39" xfId="0" applyFont="1" applyFill="1" applyBorder="1" applyAlignment="1">
      <alignment horizontal="center" vertical="center" wrapText="1"/>
    </xf>
    <xf numFmtId="0" fontId="67" fillId="0" borderId="40" xfId="0" applyFont="1" applyBorder="1" applyAlignment="1">
      <alignment horizontal="center" vertical="center"/>
    </xf>
    <xf numFmtId="0" fontId="68" fillId="0" borderId="41" xfId="0" applyFont="1" applyBorder="1" applyAlignment="1">
      <alignment vertical="center"/>
    </xf>
    <xf numFmtId="0" fontId="68" fillId="0" borderId="41" xfId="0" applyFont="1" applyBorder="1" applyAlignment="1">
      <alignment horizontal="center" vertical="center"/>
    </xf>
    <xf numFmtId="0" fontId="67" fillId="0" borderId="41" xfId="0" applyFont="1" applyBorder="1" applyAlignment="1">
      <alignment vertical="center"/>
    </xf>
    <xf numFmtId="165" fontId="67" fillId="0" borderId="41" xfId="4" applyFont="1" applyBorder="1" applyAlignment="1">
      <alignment horizontal="right" vertical="center"/>
    </xf>
    <xf numFmtId="0" fontId="67" fillId="0" borderId="41" xfId="0" applyFont="1" applyBorder="1" applyAlignment="1">
      <alignment horizontal="center" vertical="center"/>
    </xf>
    <xf numFmtId="0" fontId="65" fillId="0" borderId="40" xfId="0" applyFont="1" applyBorder="1" applyAlignment="1">
      <alignment vertical="center"/>
    </xf>
    <xf numFmtId="0" fontId="65" fillId="0" borderId="42" xfId="0" applyFont="1" applyBorder="1" applyAlignment="1">
      <alignment vertical="center"/>
    </xf>
    <xf numFmtId="0" fontId="65" fillId="0" borderId="41" xfId="0" applyFont="1" applyBorder="1" applyAlignment="1">
      <alignment vertical="center"/>
    </xf>
    <xf numFmtId="0" fontId="38" fillId="10" borderId="2" xfId="0" applyFont="1" applyFill="1" applyBorder="1" applyAlignment="1">
      <alignment horizontal="center" vertical="center" wrapText="1"/>
    </xf>
    <xf numFmtId="0" fontId="69" fillId="10" borderId="2" xfId="0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165" fontId="0" fillId="0" borderId="2" xfId="4" applyFont="1" applyBorder="1" applyAlignment="1">
      <alignment horizontal="center" vertical="center"/>
    </xf>
    <xf numFmtId="165" fontId="0" fillId="0" borderId="2" xfId="4" applyFont="1" applyBorder="1" applyAlignment="1">
      <alignment vertical="center"/>
    </xf>
    <xf numFmtId="14" fontId="0" fillId="0" borderId="2" xfId="4" applyNumberFormat="1" applyFont="1" applyBorder="1" applyAlignment="1">
      <alignment horizontal="center" vertical="center"/>
    </xf>
    <xf numFmtId="14" fontId="0" fillId="0" borderId="2" xfId="4" applyNumberFormat="1" applyFont="1" applyBorder="1" applyAlignment="1">
      <alignment vertical="center"/>
    </xf>
    <xf numFmtId="165" fontId="0" fillId="0" borderId="4" xfId="4" applyFont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14" fontId="60" fillId="0" borderId="2" xfId="0" applyNumberFormat="1" applyFont="1" applyBorder="1" applyAlignment="1">
      <alignment horizontal="center"/>
    </xf>
    <xf numFmtId="14" fontId="0" fillId="0" borderId="2" xfId="4" applyNumberFormat="1" applyFont="1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14" fontId="60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3" fillId="0" borderId="28" xfId="4" applyFont="1" applyFill="1" applyBorder="1"/>
    <xf numFmtId="165" fontId="16" fillId="0" borderId="9" xfId="6" applyFont="1" applyBorder="1" applyAlignment="1">
      <alignment horizontal="right"/>
    </xf>
    <xf numFmtId="165" fontId="11" fillId="0" borderId="13" xfId="4" applyFont="1" applyBorder="1" applyAlignment="1">
      <alignment horizontal="center" vertical="center" wrapText="1"/>
    </xf>
    <xf numFmtId="165" fontId="44" fillId="0" borderId="9" xfId="4" applyFont="1" applyFill="1" applyBorder="1"/>
    <xf numFmtId="4" fontId="42" fillId="0" borderId="0" xfId="18" applyNumberFormat="1" applyFont="1"/>
    <xf numFmtId="165" fontId="42" fillId="0" borderId="0" xfId="37" applyFont="1"/>
    <xf numFmtId="4" fontId="48" fillId="0" borderId="9" xfId="18" applyNumberFormat="1" applyFont="1" applyBorder="1"/>
    <xf numFmtId="4" fontId="26" fillId="0" borderId="16" xfId="0" applyNumberFormat="1" applyFont="1" applyBorder="1"/>
    <xf numFmtId="164" fontId="13" fillId="0" borderId="0" xfId="0" applyNumberFormat="1" applyFont="1" applyAlignment="1">
      <alignment horizontal="left" vertical="center" indent="4"/>
    </xf>
    <xf numFmtId="0" fontId="42" fillId="0" borderId="0" xfId="40" applyFont="1"/>
    <xf numFmtId="165" fontId="42" fillId="0" borderId="0" xfId="41" applyFont="1"/>
    <xf numFmtId="165" fontId="42" fillId="0" borderId="0" xfId="35" applyFont="1" applyAlignment="1">
      <alignment horizontal="right"/>
    </xf>
    <xf numFmtId="0" fontId="13" fillId="0" borderId="0" xfId="0" applyFont="1" applyAlignment="1">
      <alignment horizontal="left" vertical="center" indent="4"/>
    </xf>
    <xf numFmtId="165" fontId="42" fillId="0" borderId="43" xfId="35" applyFont="1" applyBorder="1" applyAlignment="1">
      <alignment horizontal="right"/>
    </xf>
    <xf numFmtId="165" fontId="13" fillId="0" borderId="37" xfId="4" applyFont="1" applyBorder="1"/>
    <xf numFmtId="165" fontId="16" fillId="0" borderId="37" xfId="4" applyFont="1" applyBorder="1"/>
    <xf numFmtId="165" fontId="11" fillId="0" borderId="16" xfId="4" applyFont="1" applyBorder="1"/>
    <xf numFmtId="165" fontId="9" fillId="0" borderId="0" xfId="4" applyFont="1"/>
    <xf numFmtId="165" fontId="9" fillId="0" borderId="0" xfId="4" applyFont="1" applyAlignment="1"/>
    <xf numFmtId="10" fontId="11" fillId="0" borderId="0" xfId="43" applyNumberFormat="1" applyFont="1" applyAlignment="1">
      <alignment horizontal="center"/>
    </xf>
    <xf numFmtId="165" fontId="11" fillId="0" borderId="0" xfId="0" applyNumberFormat="1" applyFont="1"/>
    <xf numFmtId="165" fontId="13" fillId="0" borderId="0" xfId="4" applyFont="1" applyFill="1" applyAlignment="1">
      <alignment horizontal="center"/>
    </xf>
    <xf numFmtId="165" fontId="13" fillId="5" borderId="0" xfId="0" applyNumberFormat="1" applyFont="1" applyFill="1"/>
    <xf numFmtId="165" fontId="13" fillId="5" borderId="0" xfId="4" applyFont="1" applyFill="1"/>
    <xf numFmtId="0" fontId="1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" fontId="9" fillId="0" borderId="0" xfId="0" applyNumberFormat="1" applyFont="1"/>
    <xf numFmtId="49" fontId="13" fillId="5" borderId="4" xfId="0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 vertical="center"/>
    </xf>
    <xf numFmtId="165" fontId="11" fillId="0" borderId="9" xfId="4" applyFont="1" applyFill="1" applyBorder="1"/>
    <xf numFmtId="0" fontId="42" fillId="0" borderId="11" xfId="18" applyFont="1" applyBorder="1" applyAlignment="1">
      <alignment horizontal="left" wrapText="1"/>
    </xf>
    <xf numFmtId="14" fontId="73" fillId="0" borderId="0" xfId="0" applyNumberFormat="1" applyFont="1" applyAlignment="1">
      <alignment horizontal="center"/>
    </xf>
    <xf numFmtId="0" fontId="60" fillId="0" borderId="2" xfId="0" applyFont="1" applyBorder="1" applyAlignment="1">
      <alignment vertical="center"/>
    </xf>
    <xf numFmtId="0" fontId="0" fillId="0" borderId="2" xfId="4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2" xfId="4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38" fillId="0" borderId="3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55" fillId="0" borderId="7" xfId="4" applyFont="1" applyBorder="1" applyAlignment="1">
      <alignment horizontal="center" vertical="center"/>
    </xf>
    <xf numFmtId="165" fontId="70" fillId="0" borderId="0" xfId="4" applyFont="1" applyAlignment="1">
      <alignment horizontal="center" vertical="center"/>
    </xf>
    <xf numFmtId="165" fontId="55" fillId="9" borderId="0" xfId="4" applyFont="1" applyFill="1" applyAlignment="1">
      <alignment horizontal="center" vertical="center"/>
    </xf>
    <xf numFmtId="165" fontId="46" fillId="0" borderId="7" xfId="4" applyFont="1" applyFill="1" applyBorder="1" applyAlignment="1">
      <alignment horizontal="center"/>
    </xf>
    <xf numFmtId="165" fontId="45" fillId="0" borderId="0" xfId="4" applyFont="1"/>
    <xf numFmtId="165" fontId="14" fillId="0" borderId="7" xfId="0" applyNumberFormat="1" applyFont="1" applyBorder="1"/>
    <xf numFmtId="165" fontId="3" fillId="0" borderId="0" xfId="45" applyFont="1"/>
    <xf numFmtId="4" fontId="3" fillId="0" borderId="0" xfId="44" applyNumberFormat="1"/>
    <xf numFmtId="0" fontId="3" fillId="0" borderId="0" xfId="44"/>
    <xf numFmtId="165" fontId="2" fillId="0" borderId="0" xfId="66" applyFont="1"/>
    <xf numFmtId="165" fontId="13" fillId="0" borderId="7" xfId="0" applyNumberFormat="1" applyFont="1" applyBorder="1"/>
    <xf numFmtId="165" fontId="11" fillId="14" borderId="0" xfId="4" applyFont="1" applyFill="1"/>
    <xf numFmtId="165" fontId="13" fillId="15" borderId="0" xfId="4" applyFont="1" applyFill="1"/>
    <xf numFmtId="165" fontId="43" fillId="0" borderId="10" xfId="6" applyFont="1" applyBorder="1"/>
    <xf numFmtId="0" fontId="11" fillId="4" borderId="35" xfId="0" applyFont="1" applyFill="1" applyBorder="1" applyAlignment="1">
      <alignment horizontal="center"/>
    </xf>
    <xf numFmtId="0" fontId="11" fillId="4" borderId="44" xfId="0" applyFont="1" applyFill="1" applyBorder="1" applyAlignment="1">
      <alignment horizontal="center"/>
    </xf>
    <xf numFmtId="4" fontId="11" fillId="0" borderId="0" xfId="0" applyNumberFormat="1" applyFont="1" applyAlignment="1">
      <alignment horizontal="center"/>
    </xf>
    <xf numFmtId="165" fontId="42" fillId="0" borderId="0" xfId="6" applyFont="1" applyBorder="1"/>
    <xf numFmtId="0" fontId="33" fillId="0" borderId="32" xfId="0" applyFont="1" applyBorder="1"/>
    <xf numFmtId="4" fontId="48" fillId="0" borderId="18" xfId="18" applyNumberFormat="1" applyFont="1" applyBorder="1"/>
    <xf numFmtId="0" fontId="18" fillId="0" borderId="14" xfId="0" applyFont="1" applyBorder="1"/>
    <xf numFmtId="0" fontId="43" fillId="0" borderId="2" xfId="0" applyFont="1" applyBorder="1" applyAlignment="1">
      <alignment horizontal="right"/>
    </xf>
    <xf numFmtId="0" fontId="42" fillId="0" borderId="11" xfId="0" applyFont="1" applyBorder="1" applyAlignment="1">
      <alignment horizontal="center"/>
    </xf>
    <xf numFmtId="165" fontId="42" fillId="0" borderId="8" xfId="0" applyNumberFormat="1" applyFont="1" applyBorder="1"/>
    <xf numFmtId="165" fontId="45" fillId="0" borderId="8" xfId="0" applyNumberFormat="1" applyFont="1" applyBorder="1"/>
    <xf numFmtId="165" fontId="44" fillId="0" borderId="9" xfId="0" applyNumberFormat="1" applyFont="1" applyBorder="1"/>
    <xf numFmtId="0" fontId="42" fillId="0" borderId="14" xfId="0" applyFont="1" applyBorder="1"/>
    <xf numFmtId="0" fontId="43" fillId="0" borderId="17" xfId="0" applyFont="1" applyBorder="1" applyAlignment="1">
      <alignment horizontal="center"/>
    </xf>
    <xf numFmtId="0" fontId="42" fillId="0" borderId="17" xfId="0" applyFont="1" applyBorder="1"/>
    <xf numFmtId="0" fontId="43" fillId="0" borderId="17" xfId="0" applyFont="1" applyBorder="1"/>
    <xf numFmtId="165" fontId="44" fillId="0" borderId="17" xfId="0" applyNumberFormat="1" applyFont="1" applyBorder="1"/>
    <xf numFmtId="0" fontId="47" fillId="0" borderId="17" xfId="0" applyFont="1" applyBorder="1"/>
    <xf numFmtId="165" fontId="44" fillId="0" borderId="16" xfId="0" applyNumberFormat="1" applyFont="1" applyBorder="1"/>
    <xf numFmtId="0" fontId="43" fillId="4" borderId="5" xfId="0" applyFont="1" applyFill="1" applyBorder="1" applyAlignment="1">
      <alignment horizontal="center" vertical="center"/>
    </xf>
    <xf numFmtId="0" fontId="43" fillId="4" borderId="12" xfId="0" applyFont="1" applyFill="1" applyBorder="1" applyAlignment="1">
      <alignment horizontal="center" vertical="center"/>
    </xf>
    <xf numFmtId="0" fontId="43" fillId="4" borderId="12" xfId="0" applyFont="1" applyFill="1" applyBorder="1" applyAlignment="1">
      <alignment horizontal="center" vertical="center" wrapText="1"/>
    </xf>
    <xf numFmtId="0" fontId="43" fillId="4" borderId="6" xfId="0" applyFont="1" applyFill="1" applyBorder="1" applyAlignment="1">
      <alignment horizontal="center" vertical="center" wrapText="1"/>
    </xf>
    <xf numFmtId="165" fontId="75" fillId="0" borderId="11" xfId="6" applyFont="1" applyFill="1" applyBorder="1"/>
    <xf numFmtId="165" fontId="44" fillId="0" borderId="9" xfId="6" applyFont="1" applyFill="1" applyBorder="1"/>
    <xf numFmtId="165" fontId="42" fillId="0" borderId="10" xfId="6" applyFont="1" applyFill="1" applyBorder="1"/>
    <xf numFmtId="165" fontId="42" fillId="0" borderId="8" xfId="6" applyFont="1" applyFill="1" applyBorder="1"/>
    <xf numFmtId="165" fontId="43" fillId="0" borderId="10" xfId="6" applyFont="1" applyFill="1" applyBorder="1"/>
    <xf numFmtId="165" fontId="43" fillId="0" borderId="8" xfId="6" applyFont="1" applyFill="1" applyBorder="1"/>
    <xf numFmtId="165" fontId="45" fillId="0" borderId="8" xfId="6" applyFont="1" applyBorder="1"/>
    <xf numFmtId="165" fontId="76" fillId="0" borderId="8" xfId="6" applyFont="1" applyFill="1" applyBorder="1"/>
    <xf numFmtId="165" fontId="13" fillId="0" borderId="8" xfId="4" applyFont="1" applyFill="1" applyBorder="1"/>
    <xf numFmtId="165" fontId="13" fillId="0" borderId="9" xfId="4" applyFont="1" applyFill="1" applyBorder="1"/>
    <xf numFmtId="165" fontId="16" fillId="0" borderId="9" xfId="4" applyFont="1" applyFill="1" applyBorder="1"/>
    <xf numFmtId="0" fontId="13" fillId="0" borderId="43" xfId="0" applyFont="1" applyBorder="1"/>
    <xf numFmtId="4" fontId="42" fillId="0" borderId="8" xfId="18" applyNumberFormat="1" applyFont="1" applyBorder="1"/>
    <xf numFmtId="4" fontId="42" fillId="0" borderId="11" xfId="18" applyNumberFormat="1" applyFont="1" applyBorder="1"/>
    <xf numFmtId="0" fontId="53" fillId="0" borderId="10" xfId="67" applyFont="1" applyBorder="1"/>
    <xf numFmtId="4" fontId="53" fillId="0" borderId="8" xfId="67" applyNumberFormat="1" applyFont="1" applyBorder="1"/>
    <xf numFmtId="0" fontId="53" fillId="0" borderId="11" xfId="67" applyFont="1" applyBorder="1"/>
    <xf numFmtId="4" fontId="53" fillId="0" borderId="9" xfId="67" applyNumberFormat="1" applyFont="1" applyBorder="1"/>
    <xf numFmtId="4" fontId="48" fillId="0" borderId="8" xfId="18" applyNumberFormat="1" applyFont="1" applyBorder="1"/>
    <xf numFmtId="165" fontId="13" fillId="0" borderId="8" xfId="6" applyFont="1" applyFill="1" applyBorder="1" applyAlignment="1">
      <alignment horizontal="right"/>
    </xf>
    <xf numFmtId="0" fontId="13" fillId="0" borderId="32" xfId="0" applyFont="1" applyBorder="1"/>
    <xf numFmtId="4" fontId="42" fillId="0" borderId="19" xfId="18" applyNumberFormat="1" applyFont="1" applyBorder="1"/>
    <xf numFmtId="165" fontId="13" fillId="0" borderId="45" xfId="4" applyFont="1" applyBorder="1"/>
    <xf numFmtId="4" fontId="42" fillId="0" borderId="18" xfId="18" applyNumberFormat="1" applyFont="1" applyBorder="1"/>
    <xf numFmtId="0" fontId="13" fillId="0" borderId="42" xfId="0" applyFont="1" applyBorder="1"/>
    <xf numFmtId="0" fontId="77" fillId="5" borderId="4" xfId="0" applyFont="1" applyFill="1" applyBorder="1" applyAlignment="1">
      <alignment horizontal="center"/>
    </xf>
    <xf numFmtId="165" fontId="13" fillId="0" borderId="0" xfId="4" applyFont="1" applyAlignment="1">
      <alignment horizontal="center"/>
    </xf>
    <xf numFmtId="0" fontId="18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49" fontId="18" fillId="0" borderId="0" xfId="0" applyNumberFormat="1" applyFont="1" applyAlignment="1" applyProtection="1">
      <alignment horizontal="center"/>
      <protection locked="0"/>
    </xf>
    <xf numFmtId="167" fontId="3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165" fontId="13" fillId="0" borderId="0" xfId="4" applyFont="1" applyAlignment="1">
      <alignment horizontal="center" vertical="top"/>
    </xf>
    <xf numFmtId="49" fontId="18" fillId="13" borderId="13" xfId="0" applyNumberFormat="1" applyFont="1" applyFill="1" applyBorder="1" applyAlignment="1">
      <alignment horizontal="center"/>
    </xf>
    <xf numFmtId="49" fontId="18" fillId="13" borderId="23" xfId="0" applyNumberFormat="1" applyFont="1" applyFill="1" applyBorder="1" applyAlignment="1">
      <alignment horizontal="center"/>
    </xf>
    <xf numFmtId="49" fontId="18" fillId="13" borderId="2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73" fontId="11" fillId="0" borderId="0" xfId="0" applyNumberFormat="1" applyFont="1" applyAlignment="1">
      <alignment horizontal="center"/>
    </xf>
    <xf numFmtId="0" fontId="22" fillId="0" borderId="28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174" fontId="43" fillId="0" borderId="0" xfId="0" applyNumberFormat="1" applyFont="1" applyAlignment="1">
      <alignment horizontal="center"/>
    </xf>
    <xf numFmtId="0" fontId="11" fillId="0" borderId="0" xfId="0" applyFont="1" applyAlignment="1">
      <alignment horizontal="center" wrapText="1"/>
    </xf>
    <xf numFmtId="174" fontId="11" fillId="0" borderId="0" xfId="0" applyNumberFormat="1" applyFont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34" fillId="12" borderId="0" xfId="0" applyFont="1" applyFill="1" applyAlignment="1">
      <alignment horizontal="center" vertical="center"/>
    </xf>
    <xf numFmtId="0" fontId="63" fillId="6" borderId="0" xfId="0" applyFont="1" applyFill="1" applyAlignment="1">
      <alignment horizontal="center"/>
    </xf>
    <xf numFmtId="0" fontId="64" fillId="0" borderId="0" xfId="0" applyFont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65" fontId="0" fillId="0" borderId="29" xfId="4" applyFont="1" applyBorder="1" applyAlignment="1">
      <alignment horizontal="center" vertical="center"/>
    </xf>
    <xf numFmtId="165" fontId="0" fillId="0" borderId="28" xfId="4" applyFont="1" applyBorder="1" applyAlignment="1">
      <alignment horizontal="center" vertical="center"/>
    </xf>
    <xf numFmtId="165" fontId="0" fillId="0" borderId="4" xfId="4" applyFon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60" fillId="0" borderId="29" xfId="0" applyFont="1" applyBorder="1" applyAlignment="1">
      <alignment vertical="center"/>
    </xf>
    <xf numFmtId="0" fontId="60" fillId="0" borderId="28" xfId="0" applyFont="1" applyBorder="1" applyAlignment="1">
      <alignment vertical="center"/>
    </xf>
    <xf numFmtId="0" fontId="60" fillId="0" borderId="4" xfId="0" applyFont="1" applyBorder="1" applyAlignment="1">
      <alignment vertical="center"/>
    </xf>
    <xf numFmtId="0" fontId="0" fillId="0" borderId="29" xfId="0" quotePrefix="1" applyBorder="1" applyAlignment="1">
      <alignment horizontal="left" vertical="center"/>
    </xf>
    <xf numFmtId="0" fontId="0" fillId="0" borderId="28" xfId="0" quotePrefix="1" applyBorder="1" applyAlignment="1">
      <alignment horizontal="left" vertical="center"/>
    </xf>
    <xf numFmtId="0" fontId="0" fillId="0" borderId="4" xfId="0" quotePrefix="1" applyBorder="1" applyAlignment="1">
      <alignment horizontal="left" vertical="center"/>
    </xf>
    <xf numFmtId="0" fontId="0" fillId="0" borderId="29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0" fillId="0" borderId="29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29" xfId="4" applyNumberFormat="1" applyFont="1" applyBorder="1" applyAlignment="1">
      <alignment horizontal="center" vertical="center"/>
    </xf>
    <xf numFmtId="14" fontId="0" fillId="0" borderId="28" xfId="4" applyNumberFormat="1" applyFont="1" applyBorder="1" applyAlignment="1">
      <alignment horizontal="center" vertical="center"/>
    </xf>
    <xf numFmtId="14" fontId="0" fillId="0" borderId="4" xfId="4" applyNumberFormat="1" applyFont="1" applyBorder="1" applyAlignment="1">
      <alignment horizontal="center" vertical="center"/>
    </xf>
    <xf numFmtId="0" fontId="0" fillId="0" borderId="29" xfId="4" applyNumberFormat="1" applyFont="1" applyBorder="1" applyAlignment="1">
      <alignment horizontal="center" vertical="center"/>
    </xf>
    <xf numFmtId="0" fontId="0" fillId="0" borderId="28" xfId="4" applyNumberFormat="1" applyFont="1" applyBorder="1" applyAlignment="1">
      <alignment horizontal="center" vertical="center"/>
    </xf>
    <xf numFmtId="0" fontId="0" fillId="0" borderId="4" xfId="4" applyNumberFormat="1" applyFont="1" applyBorder="1" applyAlignment="1">
      <alignment horizontal="center" vertical="center"/>
    </xf>
    <xf numFmtId="165" fontId="0" fillId="0" borderId="2" xfId="4" applyFon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165" fontId="0" fillId="0" borderId="2" xfId="4" applyFont="1" applyFill="1" applyBorder="1" applyAlignment="1">
      <alignment horizontal="center" vertical="center"/>
    </xf>
    <xf numFmtId="14" fontId="0" fillId="0" borderId="2" xfId="4" applyNumberFormat="1" applyFont="1" applyBorder="1" applyAlignment="1">
      <alignment horizontal="center" vertical="center"/>
    </xf>
    <xf numFmtId="0" fontId="0" fillId="0" borderId="2" xfId="4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left" vertical="center"/>
    </xf>
    <xf numFmtId="14" fontId="0" fillId="0" borderId="28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165" fontId="0" fillId="0" borderId="25" xfId="4" applyFont="1" applyFill="1" applyBorder="1" applyAlignment="1">
      <alignment horizontal="center" vertical="center"/>
    </xf>
    <xf numFmtId="165" fontId="0" fillId="0" borderId="27" xfId="4" applyFont="1" applyFill="1" applyBorder="1" applyAlignment="1">
      <alignment horizontal="center" vertical="center"/>
    </xf>
    <xf numFmtId="165" fontId="0" fillId="0" borderId="29" xfId="4" applyFont="1" applyFill="1" applyBorder="1" applyAlignment="1">
      <alignment horizontal="center" vertical="center"/>
    </xf>
    <xf numFmtId="165" fontId="0" fillId="0" borderId="28" xfId="4" applyFont="1" applyFill="1" applyBorder="1" applyAlignment="1">
      <alignment horizontal="center" vertical="center"/>
    </xf>
    <xf numFmtId="14" fontId="0" fillId="0" borderId="2" xfId="4" applyNumberFormat="1" applyFont="1" applyFill="1" applyBorder="1" applyAlignment="1">
      <alignment horizontal="center" vertical="center"/>
    </xf>
    <xf numFmtId="0" fontId="0" fillId="0" borderId="29" xfId="4" applyNumberFormat="1" applyFont="1" applyFill="1" applyBorder="1" applyAlignment="1">
      <alignment horizontal="center" vertical="center"/>
    </xf>
    <xf numFmtId="0" fontId="0" fillId="0" borderId="28" xfId="4" applyNumberFormat="1" applyFont="1" applyFill="1" applyBorder="1" applyAlignment="1">
      <alignment horizontal="center" vertical="center"/>
    </xf>
    <xf numFmtId="165" fontId="0" fillId="0" borderId="4" xfId="4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60" fillId="0" borderId="29" xfId="0" applyNumberFormat="1" applyFont="1" applyBorder="1" applyAlignment="1">
      <alignment horizontal="center" vertical="center"/>
    </xf>
    <xf numFmtId="4" fontId="60" fillId="0" borderId="4" xfId="0" applyNumberFormat="1" applyFont="1" applyBorder="1" applyAlignment="1">
      <alignment horizontal="center" vertical="center"/>
    </xf>
    <xf numFmtId="0" fontId="60" fillId="0" borderId="29" xfId="0" quotePrefix="1" applyFont="1" applyBorder="1" applyAlignment="1">
      <alignment horizontal="left" vertical="center"/>
    </xf>
    <xf numFmtId="0" fontId="60" fillId="0" borderId="4" xfId="0" quotePrefix="1" applyFont="1" applyBorder="1" applyAlignment="1">
      <alignment horizontal="left" vertical="center"/>
    </xf>
    <xf numFmtId="0" fontId="60" fillId="0" borderId="29" xfId="0" applyFont="1" applyBorder="1" applyAlignment="1">
      <alignment vertical="center" wrapText="1"/>
    </xf>
    <xf numFmtId="0" fontId="60" fillId="0" borderId="4" xfId="0" applyFont="1" applyBorder="1" applyAlignment="1">
      <alignment vertical="center" wrapText="1"/>
    </xf>
    <xf numFmtId="14" fontId="60" fillId="0" borderId="29" xfId="0" applyNumberFormat="1" applyFont="1" applyBorder="1" applyAlignment="1">
      <alignment horizontal="center" vertical="center"/>
    </xf>
    <xf numFmtId="14" fontId="60" fillId="0" borderId="4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</cellXfs>
  <cellStyles count="68">
    <cellStyle name="Comma 2" xfId="1"/>
    <cellStyle name="Comma 2 2" xfId="2"/>
    <cellStyle name="Comma 3" xfId="3"/>
    <cellStyle name="Millares" xfId="4" builtinId="3"/>
    <cellStyle name="Millares 10" xfId="37"/>
    <cellStyle name="Millares 10 2" xfId="58"/>
    <cellStyle name="Millares 11" xfId="39"/>
    <cellStyle name="Millares 11 2" xfId="60"/>
    <cellStyle name="Millares 12" xfId="41"/>
    <cellStyle name="Millares 12 2" xfId="62"/>
    <cellStyle name="Millares 13" xfId="45"/>
    <cellStyle name="Millares 14" xfId="47"/>
    <cellStyle name="Millares 15" xfId="66"/>
    <cellStyle name="Millares 2" xfId="5"/>
    <cellStyle name="Millares 2 2" xfId="6"/>
    <cellStyle name="Millares 2 2 2" xfId="48"/>
    <cellStyle name="Millares 3" xfId="7"/>
    <cellStyle name="Millares 3 2" xfId="8"/>
    <cellStyle name="Millares 3 3" xfId="49"/>
    <cellStyle name="Millares 4" xfId="9"/>
    <cellStyle name="Millares 4 2" xfId="50"/>
    <cellStyle name="Millares 5" xfId="10"/>
    <cellStyle name="Millares 6" xfId="11"/>
    <cellStyle name="Millares 7" xfId="12"/>
    <cellStyle name="Millares 8" xfId="13"/>
    <cellStyle name="Millares 9" xfId="35"/>
    <cellStyle name="Millares 9 2" xfId="56"/>
    <cellStyle name="Neutral" xfId="14" builtinId="28" customBuiltin="1"/>
    <cellStyle name="Neutral 2" xfId="15"/>
    <cellStyle name="Neutral 3" xfId="16"/>
    <cellStyle name="Neutral 4" xfId="17"/>
    <cellStyle name="Neutral 5" xfId="51"/>
    <cellStyle name="Normal" xfId="0" builtinId="0"/>
    <cellStyle name="Normal 10" xfId="34"/>
    <cellStyle name="Normal 10 2" xfId="55"/>
    <cellStyle name="Normal 11" xfId="36"/>
    <cellStyle name="Normal 11 2" xfId="57"/>
    <cellStyle name="Normal 12" xfId="38"/>
    <cellStyle name="Normal 12 2" xfId="59"/>
    <cellStyle name="Normal 13" xfId="40"/>
    <cellStyle name="Normal 13 2" xfId="61"/>
    <cellStyle name="Normal 14" xfId="42"/>
    <cellStyle name="Normal 14 2" xfId="63"/>
    <cellStyle name="Normal 15" xfId="44"/>
    <cellStyle name="Normal 16" xfId="46"/>
    <cellStyle name="Normal 17" xfId="65"/>
    <cellStyle name="Normal 18" xfId="67"/>
    <cellStyle name="Normal 2" xfId="18"/>
    <cellStyle name="Normal 2 2" xfId="19"/>
    <cellStyle name="Normal 2 3" xfId="52"/>
    <cellStyle name="Normal 3" xfId="20"/>
    <cellStyle name="Normal 3 2" xfId="21"/>
    <cellStyle name="Normal 4" xfId="22"/>
    <cellStyle name="Normal 5" xfId="23"/>
    <cellStyle name="Normal 6" xfId="24"/>
    <cellStyle name="Normal 7" xfId="25"/>
    <cellStyle name="Normal 8" xfId="26"/>
    <cellStyle name="Normal 9" xfId="27"/>
    <cellStyle name="Normal 9 2" xfId="28"/>
    <cellStyle name="Notas 2" xfId="29"/>
    <cellStyle name="Notas 3" xfId="30"/>
    <cellStyle name="Notas 3 2" xfId="53"/>
    <cellStyle name="Porcentaje" xfId="43" builtinId="5"/>
    <cellStyle name="Porcentaje 2" xfId="31"/>
    <cellStyle name="Porcentaje 2 2" xfId="54"/>
    <cellStyle name="Porcentaje 3" xfId="64"/>
    <cellStyle name="Título 4" xfId="32"/>
    <cellStyle name="Total" xfId="33" builtinId="25" customBuiltin="1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4" Type="http://schemas.openxmlformats.org/officeDocument/2006/relationships/image" Target="../media/image2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</xdr:col>
      <xdr:colOff>19050</xdr:colOff>
      <xdr:row>4</xdr:row>
      <xdr:rowOff>85725</xdr:rowOff>
    </xdr:to>
    <xdr:pic>
      <xdr:nvPicPr>
        <xdr:cNvPr id="122639" name="Imagen 5">
          <a:extLst>
            <a:ext uri="{FF2B5EF4-FFF2-40B4-BE49-F238E27FC236}">
              <a16:creationId xmlns:a16="http://schemas.microsoft.com/office/drawing/2014/main" id="{FBB8FFAC-DAD7-B40B-D2EC-849F44E6C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971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52</xdr:row>
      <xdr:rowOff>161925</xdr:rowOff>
    </xdr:from>
    <xdr:to>
      <xdr:col>0</xdr:col>
      <xdr:colOff>2515932</xdr:colOff>
      <xdr:row>52</xdr:row>
      <xdr:rowOff>180215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DEB648-15A2-4642-9AF7-FF90C6FB6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0591800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58</xdr:row>
      <xdr:rowOff>171450</xdr:rowOff>
    </xdr:from>
    <xdr:to>
      <xdr:col>3</xdr:col>
      <xdr:colOff>29907</xdr:colOff>
      <xdr:row>58</xdr:row>
      <xdr:rowOff>189740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9C9B41-073E-4008-BCD3-CE5E31FEC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11782425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52</xdr:row>
      <xdr:rowOff>133350</xdr:rowOff>
    </xdr:from>
    <xdr:to>
      <xdr:col>4</xdr:col>
      <xdr:colOff>1134807</xdr:colOff>
      <xdr:row>52</xdr:row>
      <xdr:rowOff>151640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4EC188-DC06-467F-984C-E5D2A46B2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725" y="10563225"/>
          <a:ext cx="2182557" cy="18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0</xdr:col>
      <xdr:colOff>2943225</xdr:colOff>
      <xdr:row>3</xdr:row>
      <xdr:rowOff>180975</xdr:rowOff>
    </xdr:to>
    <xdr:pic>
      <xdr:nvPicPr>
        <xdr:cNvPr id="123662" name="Imagen 5">
          <a:extLst>
            <a:ext uri="{FF2B5EF4-FFF2-40B4-BE49-F238E27FC236}">
              <a16:creationId xmlns:a16="http://schemas.microsoft.com/office/drawing/2014/main" id="{AF619B97-FC7E-6A3A-2280-40218540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28289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43</xdr:row>
      <xdr:rowOff>148167</xdr:rowOff>
    </xdr:from>
    <xdr:to>
      <xdr:col>0</xdr:col>
      <xdr:colOff>2690557</xdr:colOff>
      <xdr:row>43</xdr:row>
      <xdr:rowOff>166457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FD18B5-E56D-8A2E-9D04-F69CF0D80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0" y="9112250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412750</xdr:colOff>
      <xdr:row>43</xdr:row>
      <xdr:rowOff>148166</xdr:rowOff>
    </xdr:from>
    <xdr:to>
      <xdr:col>4</xdr:col>
      <xdr:colOff>849057</xdr:colOff>
      <xdr:row>43</xdr:row>
      <xdr:rowOff>166456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E03CAB-5102-43BC-91BC-775AD7F6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0833" y="9112249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78317</xdr:colOff>
      <xdr:row>49</xdr:row>
      <xdr:rowOff>152399</xdr:rowOff>
    </xdr:from>
    <xdr:to>
      <xdr:col>2</xdr:col>
      <xdr:colOff>1562374</xdr:colOff>
      <xdr:row>49</xdr:row>
      <xdr:rowOff>170689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F56D0-1A53-4C71-B45C-A2E2107EF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8650" y="10259482"/>
          <a:ext cx="2182557" cy="18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3267075</xdr:colOff>
      <xdr:row>4</xdr:row>
      <xdr:rowOff>0</xdr:rowOff>
    </xdr:to>
    <xdr:pic>
      <xdr:nvPicPr>
        <xdr:cNvPr id="101949" name="Imagen 5">
          <a:extLst>
            <a:ext uri="{FF2B5EF4-FFF2-40B4-BE49-F238E27FC236}">
              <a16:creationId xmlns:a16="http://schemas.microsoft.com/office/drawing/2014/main" id="{B8782D00-277A-552A-3006-2A30D4186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3476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0</xdr:row>
      <xdr:rowOff>128588</xdr:rowOff>
    </xdr:from>
    <xdr:to>
      <xdr:col>2</xdr:col>
      <xdr:colOff>261937</xdr:colOff>
      <xdr:row>4</xdr:row>
      <xdr:rowOff>4763</xdr:rowOff>
    </xdr:to>
    <xdr:pic>
      <xdr:nvPicPr>
        <xdr:cNvPr id="109102" name="Imagen 5">
          <a:extLst>
            <a:ext uri="{FF2B5EF4-FFF2-40B4-BE49-F238E27FC236}">
              <a16:creationId xmlns:a16="http://schemas.microsoft.com/office/drawing/2014/main" id="{0E52FF90-3591-D5B5-CC0C-909F1E5B1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128588"/>
          <a:ext cx="2440781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85726</xdr:rowOff>
    </xdr:from>
    <xdr:to>
      <xdr:col>1</xdr:col>
      <xdr:colOff>3543300</xdr:colOff>
      <xdr:row>3</xdr:row>
      <xdr:rowOff>87290</xdr:rowOff>
    </xdr:to>
    <xdr:pic>
      <xdr:nvPicPr>
        <xdr:cNvPr id="117100" name="Imagen 5">
          <a:extLst>
            <a:ext uri="{FF2B5EF4-FFF2-40B4-BE49-F238E27FC236}">
              <a16:creationId xmlns:a16="http://schemas.microsoft.com/office/drawing/2014/main" id="{3F9420CD-8756-963F-5277-A2D2B227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6"/>
          <a:ext cx="3600450" cy="725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</xdr:rowOff>
    </xdr:from>
    <xdr:to>
      <xdr:col>1</xdr:col>
      <xdr:colOff>1914525</xdr:colOff>
      <xdr:row>1</xdr:row>
      <xdr:rowOff>276225</xdr:rowOff>
    </xdr:to>
    <xdr:pic>
      <xdr:nvPicPr>
        <xdr:cNvPr id="103984" name="Imagen 5">
          <a:extLst>
            <a:ext uri="{FF2B5EF4-FFF2-40B4-BE49-F238E27FC236}">
              <a16:creationId xmlns:a16="http://schemas.microsoft.com/office/drawing/2014/main" id="{D949302E-C951-499B-1C92-F7CDEC48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2228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1</xdr:col>
      <xdr:colOff>2115608</xdr:colOff>
      <xdr:row>2</xdr:row>
      <xdr:rowOff>57150</xdr:rowOff>
    </xdr:to>
    <xdr:pic>
      <xdr:nvPicPr>
        <xdr:cNvPr id="102966" name="Imagen 5">
          <a:extLst>
            <a:ext uri="{FF2B5EF4-FFF2-40B4-BE49-F238E27FC236}">
              <a16:creationId xmlns:a16="http://schemas.microsoft.com/office/drawing/2014/main" id="{D5574382-4D5E-358D-643B-B7C07B46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2286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114300</xdr:rowOff>
    </xdr:from>
    <xdr:to>
      <xdr:col>1</xdr:col>
      <xdr:colOff>1409700</xdr:colOff>
      <xdr:row>1</xdr:row>
      <xdr:rowOff>247650</xdr:rowOff>
    </xdr:to>
    <xdr:pic>
      <xdr:nvPicPr>
        <xdr:cNvPr id="72643" name="Imagen 5">
          <a:extLst>
            <a:ext uri="{FF2B5EF4-FFF2-40B4-BE49-F238E27FC236}">
              <a16:creationId xmlns:a16="http://schemas.microsoft.com/office/drawing/2014/main" id="{6E593C62-F4DE-9C64-DCF2-F9DC064E7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4300"/>
          <a:ext cx="1781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152400</xdr:rowOff>
    </xdr:from>
    <xdr:to>
      <xdr:col>1</xdr:col>
      <xdr:colOff>2190750</xdr:colOff>
      <xdr:row>2</xdr:row>
      <xdr:rowOff>114300</xdr:rowOff>
    </xdr:to>
    <xdr:pic>
      <xdr:nvPicPr>
        <xdr:cNvPr id="105008" name="Imagen 5">
          <a:extLst>
            <a:ext uri="{FF2B5EF4-FFF2-40B4-BE49-F238E27FC236}">
              <a16:creationId xmlns:a16="http://schemas.microsoft.com/office/drawing/2014/main" id="{7CFF9A80-00C2-C530-603F-DC71AE03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52400"/>
          <a:ext cx="2152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38100</xdr:rowOff>
    </xdr:from>
    <xdr:to>
      <xdr:col>2</xdr:col>
      <xdr:colOff>914400</xdr:colOff>
      <xdr:row>1</xdr:row>
      <xdr:rowOff>238125</xdr:rowOff>
    </xdr:to>
    <xdr:pic>
      <xdr:nvPicPr>
        <xdr:cNvPr id="111142" name="Imagen 5">
          <a:extLst>
            <a:ext uri="{FF2B5EF4-FFF2-40B4-BE49-F238E27FC236}">
              <a16:creationId xmlns:a16="http://schemas.microsoft.com/office/drawing/2014/main" id="{4E642CD8-AE2F-6148-B158-8F827AD10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1933575</xdr:colOff>
      <xdr:row>5</xdr:row>
      <xdr:rowOff>28575</xdr:rowOff>
    </xdr:to>
    <xdr:pic>
      <xdr:nvPicPr>
        <xdr:cNvPr id="125042" name="Imagen 5">
          <a:extLst>
            <a:ext uri="{FF2B5EF4-FFF2-40B4-BE49-F238E27FC236}">
              <a16:creationId xmlns:a16="http://schemas.microsoft.com/office/drawing/2014/main" id="{E4A63FC3-962F-B871-4424-7086795C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2385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219075</xdr:rowOff>
    </xdr:from>
    <xdr:to>
      <xdr:col>1</xdr:col>
      <xdr:colOff>1990725</xdr:colOff>
      <xdr:row>2</xdr:row>
      <xdr:rowOff>114300</xdr:rowOff>
    </xdr:to>
    <xdr:pic>
      <xdr:nvPicPr>
        <xdr:cNvPr id="98938" name="Imagen 5">
          <a:extLst>
            <a:ext uri="{FF2B5EF4-FFF2-40B4-BE49-F238E27FC236}">
              <a16:creationId xmlns:a16="http://schemas.microsoft.com/office/drawing/2014/main" id="{6F280ABA-122E-77FA-5818-1F29A79BB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9075"/>
          <a:ext cx="1971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114300</xdr:rowOff>
    </xdr:from>
    <xdr:to>
      <xdr:col>1</xdr:col>
      <xdr:colOff>1581150</xdr:colOff>
      <xdr:row>2</xdr:row>
      <xdr:rowOff>66675</xdr:rowOff>
    </xdr:to>
    <xdr:pic>
      <xdr:nvPicPr>
        <xdr:cNvPr id="106032" name="Imagen 5">
          <a:extLst>
            <a:ext uri="{FF2B5EF4-FFF2-40B4-BE49-F238E27FC236}">
              <a16:creationId xmlns:a16="http://schemas.microsoft.com/office/drawing/2014/main" id="{D9A7D43C-C7F7-8B16-5F95-500BFD2E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4300"/>
          <a:ext cx="2124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28576</xdr:rowOff>
    </xdr:from>
    <xdr:to>
      <xdr:col>1</xdr:col>
      <xdr:colOff>1933576</xdr:colOff>
      <xdr:row>2</xdr:row>
      <xdr:rowOff>34214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5B75407B-3ACC-8C68-0B55-3A33BB7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28576"/>
          <a:ext cx="1885950" cy="63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2038350</xdr:colOff>
      <xdr:row>2</xdr:row>
      <xdr:rowOff>0</xdr:rowOff>
    </xdr:to>
    <xdr:pic>
      <xdr:nvPicPr>
        <xdr:cNvPr id="128023" name="Imagen 5">
          <a:extLst>
            <a:ext uri="{FF2B5EF4-FFF2-40B4-BE49-F238E27FC236}">
              <a16:creationId xmlns:a16="http://schemas.microsoft.com/office/drawing/2014/main" id="{73FC42E7-D996-D5BA-6EBC-BDD778E38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2476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</xdr:col>
      <xdr:colOff>1276350</xdr:colOff>
      <xdr:row>2</xdr:row>
      <xdr:rowOff>152400</xdr:rowOff>
    </xdr:to>
    <xdr:pic>
      <xdr:nvPicPr>
        <xdr:cNvPr id="107056" name="Imagen 5">
          <a:extLst>
            <a:ext uri="{FF2B5EF4-FFF2-40B4-BE49-F238E27FC236}">
              <a16:creationId xmlns:a16="http://schemas.microsoft.com/office/drawing/2014/main" id="{4062ED9C-56A0-1DCF-8E0B-298877DA6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1914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1609725</xdr:colOff>
      <xdr:row>2</xdr:row>
      <xdr:rowOff>95250</xdr:rowOff>
    </xdr:to>
    <xdr:pic>
      <xdr:nvPicPr>
        <xdr:cNvPr id="127045" name="Imagen 5">
          <a:extLst>
            <a:ext uri="{FF2B5EF4-FFF2-40B4-BE49-F238E27FC236}">
              <a16:creationId xmlns:a16="http://schemas.microsoft.com/office/drawing/2014/main" id="{6F3A6C53-FEA6-A70F-5EE3-BEFE770A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133350</xdr:rowOff>
    </xdr:from>
    <xdr:to>
      <xdr:col>1</xdr:col>
      <xdr:colOff>2047875</xdr:colOff>
      <xdr:row>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146610C-2936-4B1B-8541-FA1B59466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57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1</xdr:col>
      <xdr:colOff>1857375</xdr:colOff>
      <xdr:row>4</xdr:row>
      <xdr:rowOff>28575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A05D70BF-6987-4E10-82C5-0841968AF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90500"/>
          <a:ext cx="1704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123825</xdr:rowOff>
    </xdr:from>
    <xdr:to>
      <xdr:col>2</xdr:col>
      <xdr:colOff>742950</xdr:colOff>
      <xdr:row>50</xdr:row>
      <xdr:rowOff>171450</xdr:rowOff>
    </xdr:to>
    <xdr:pic>
      <xdr:nvPicPr>
        <xdr:cNvPr id="108092" name="Imagen 5">
          <a:extLst>
            <a:ext uri="{FF2B5EF4-FFF2-40B4-BE49-F238E27FC236}">
              <a16:creationId xmlns:a16="http://schemas.microsoft.com/office/drawing/2014/main" id="{DF238433-E1DA-C21D-46DB-C6DD5F35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3825"/>
          <a:ext cx="2333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0</xdr:col>
      <xdr:colOff>2095500</xdr:colOff>
      <xdr:row>2</xdr:row>
      <xdr:rowOff>0</xdr:rowOff>
    </xdr:to>
    <xdr:pic>
      <xdr:nvPicPr>
        <xdr:cNvPr id="126412" name="Imagen 5">
          <a:extLst>
            <a:ext uri="{FF2B5EF4-FFF2-40B4-BE49-F238E27FC236}">
              <a16:creationId xmlns:a16="http://schemas.microsoft.com/office/drawing/2014/main" id="{2E8EB3B3-B307-3653-41C3-AA8406BD5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20193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75143</xdr:colOff>
      <xdr:row>33</xdr:row>
      <xdr:rowOff>125942</xdr:rowOff>
    </xdr:from>
    <xdr:to>
      <xdr:col>0</xdr:col>
      <xdr:colOff>1894418</xdr:colOff>
      <xdr:row>34</xdr:row>
      <xdr:rowOff>275167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422BA19-CA8B-83F5-E3E2-132D51AB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43" y="10666942"/>
          <a:ext cx="1819275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84667</xdr:colOff>
      <xdr:row>66</xdr:row>
      <xdr:rowOff>254000</xdr:rowOff>
    </xdr:from>
    <xdr:to>
      <xdr:col>0</xdr:col>
      <xdr:colOff>1903942</xdr:colOff>
      <xdr:row>68</xdr:row>
      <xdr:rowOff>85725</xdr:rowOff>
    </xdr:to>
    <xdr:pic>
      <xdr:nvPicPr>
        <xdr:cNvPr id="7" name="Imagen 5">
          <a:extLst>
            <a:ext uri="{FF2B5EF4-FFF2-40B4-BE49-F238E27FC236}">
              <a16:creationId xmlns:a16="http://schemas.microsoft.com/office/drawing/2014/main" id="{6CEFF08F-D2DF-0FB9-90EC-42E2C00E8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20013083"/>
          <a:ext cx="1819275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95252</xdr:colOff>
      <xdr:row>97</xdr:row>
      <xdr:rowOff>141816</xdr:rowOff>
    </xdr:from>
    <xdr:ext cx="1704975" cy="409575"/>
    <xdr:pic>
      <xdr:nvPicPr>
        <xdr:cNvPr id="8" name="Imagen 5">
          <a:extLst>
            <a:ext uri="{FF2B5EF4-FFF2-40B4-BE49-F238E27FC236}">
              <a16:creationId xmlns:a16="http://schemas.microsoft.com/office/drawing/2014/main" id="{2CD8C1E5-B946-447A-8136-E324FAA29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2" y="29743399"/>
          <a:ext cx="17049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171450</xdr:rowOff>
    </xdr:from>
    <xdr:to>
      <xdr:col>0</xdr:col>
      <xdr:colOff>2209800</xdr:colOff>
      <xdr:row>2</xdr:row>
      <xdr:rowOff>76200</xdr:rowOff>
    </xdr:to>
    <xdr:pic>
      <xdr:nvPicPr>
        <xdr:cNvPr id="124168" name="Imagen 5">
          <a:extLst>
            <a:ext uri="{FF2B5EF4-FFF2-40B4-BE49-F238E27FC236}">
              <a16:creationId xmlns:a16="http://schemas.microsoft.com/office/drawing/2014/main" id="{5CE6D568-7448-262D-5509-D26DD9ACA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152400</xdr:rowOff>
    </xdr:from>
    <xdr:to>
      <xdr:col>0</xdr:col>
      <xdr:colOff>2019300</xdr:colOff>
      <xdr:row>40</xdr:row>
      <xdr:rowOff>57150</xdr:rowOff>
    </xdr:to>
    <xdr:pic>
      <xdr:nvPicPr>
        <xdr:cNvPr id="124169" name="Imagen 5">
          <a:extLst>
            <a:ext uri="{FF2B5EF4-FFF2-40B4-BE49-F238E27FC236}">
              <a16:creationId xmlns:a16="http://schemas.microsoft.com/office/drawing/2014/main" id="{41BD9BB7-1DCF-4148-33CD-8586050F6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66</xdr:row>
      <xdr:rowOff>38100</xdr:rowOff>
    </xdr:from>
    <xdr:ext cx="2019300" cy="533400"/>
    <xdr:pic>
      <xdr:nvPicPr>
        <xdr:cNvPr id="5" name="Imagen 5">
          <a:extLst>
            <a:ext uri="{FF2B5EF4-FFF2-40B4-BE49-F238E27FC236}">
              <a16:creationId xmlns:a16="http://schemas.microsoft.com/office/drawing/2014/main" id="{45291074-3632-4B56-A892-4DE2C1547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9270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247650</xdr:rowOff>
    </xdr:from>
    <xdr:to>
      <xdr:col>1</xdr:col>
      <xdr:colOff>2419350</xdr:colOff>
      <xdr:row>2</xdr:row>
      <xdr:rowOff>38100</xdr:rowOff>
    </xdr:to>
    <xdr:pic>
      <xdr:nvPicPr>
        <xdr:cNvPr id="97987" name="Imagen 5">
          <a:extLst>
            <a:ext uri="{FF2B5EF4-FFF2-40B4-BE49-F238E27FC236}">
              <a16:creationId xmlns:a16="http://schemas.microsoft.com/office/drawing/2014/main" id="{6A22325B-61C2-96DB-B02E-3F2B93416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7650"/>
          <a:ext cx="2276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142875</xdr:colOff>
      <xdr:row>14</xdr:row>
      <xdr:rowOff>247650</xdr:rowOff>
    </xdr:from>
    <xdr:ext cx="2276475" cy="419100"/>
    <xdr:pic>
      <xdr:nvPicPr>
        <xdr:cNvPr id="2" name="Imagen 5">
          <a:extLst>
            <a:ext uri="{FF2B5EF4-FFF2-40B4-BE49-F238E27FC236}">
              <a16:creationId xmlns:a16="http://schemas.microsoft.com/office/drawing/2014/main" id="{E880FFE3-FEAE-4A01-AAF2-AF4703A87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7650"/>
          <a:ext cx="2276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142875</xdr:colOff>
      <xdr:row>29</xdr:row>
      <xdr:rowOff>247650</xdr:rowOff>
    </xdr:from>
    <xdr:ext cx="2276475" cy="419100"/>
    <xdr:pic>
      <xdr:nvPicPr>
        <xdr:cNvPr id="3" name="Imagen 5">
          <a:extLst>
            <a:ext uri="{FF2B5EF4-FFF2-40B4-BE49-F238E27FC236}">
              <a16:creationId xmlns:a16="http://schemas.microsoft.com/office/drawing/2014/main" id="{7A75AD66-88F4-4325-A552-071FF5330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648200"/>
          <a:ext cx="2276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1</xdr:row>
      <xdr:rowOff>200025</xdr:rowOff>
    </xdr:to>
    <xdr:pic>
      <xdr:nvPicPr>
        <xdr:cNvPr id="112133" name="Imagen 10">
          <a:extLst>
            <a:ext uri="{FF2B5EF4-FFF2-40B4-BE49-F238E27FC236}">
              <a16:creationId xmlns:a16="http://schemas.microsoft.com/office/drawing/2014/main" id="{038AD5BE-7843-AF9D-E79E-D66DDA21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Libro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percloud.sharepoint.com/sites/RRHH/Documentos%20compartidos/RH/2023/VACACIONES/CONTROL%20DE%20VACACIONES%20COMPLETO%20DE%20LOS%20COLABORADORES%202023-WLRRHH02%20-%20cop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Hoja2!F97C4:F108C4" advise="1"/>
        </mc:Choice>
        <mc:Fallback>
          <oleItem name="!Hoja2!F97C4:F108C4" advise="1"/>
        </mc:Fallback>
      </mc:AlternateContent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 (3)"/>
      <sheetName val="Hoja2"/>
      <sheetName val="Control  (2)"/>
      <sheetName val="Tiempo Reconocido"/>
    </sheetNames>
    <sheetDataSet>
      <sheetData sheetId="0" refreshError="1"/>
      <sheetData sheetId="1" refreshError="1"/>
      <sheetData sheetId="2" refreshError="1">
        <row r="20">
          <cell r="I20">
            <v>44480</v>
          </cell>
          <cell r="J20">
            <v>45177</v>
          </cell>
        </row>
        <row r="21">
          <cell r="I21">
            <v>41702</v>
          </cell>
          <cell r="J21">
            <v>44256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6:M87"/>
  <sheetViews>
    <sheetView topLeftCell="A33" zoomScaleNormal="100" workbookViewId="0">
      <selection activeCell="C44" sqref="C44"/>
    </sheetView>
  </sheetViews>
  <sheetFormatPr baseColWidth="10" defaultColWidth="9.140625" defaultRowHeight="15" x14ac:dyDescent="0.2"/>
  <cols>
    <col min="1" max="1" width="44.28515625" style="1" bestFit="1" customWidth="1"/>
    <col min="2" max="2" width="10" style="1" customWidth="1"/>
    <col min="3" max="5" width="25" style="2" customWidth="1"/>
    <col min="6" max="6" width="21.42578125" style="2" customWidth="1"/>
    <col min="7" max="7" width="18.28515625" style="59" customWidth="1"/>
    <col min="8" max="8" width="21.28515625" style="1" bestFit="1" customWidth="1"/>
    <col min="9" max="12" width="9.140625" style="1" customWidth="1"/>
    <col min="13" max="13" width="19.140625" style="1" bestFit="1" customWidth="1"/>
    <col min="14" max="16384" width="9.140625" style="1"/>
  </cols>
  <sheetData>
    <row r="6" spans="1:8" x14ac:dyDescent="0.2">
      <c r="A6" s="1" t="s">
        <v>318</v>
      </c>
    </row>
    <row r="7" spans="1:8" s="280" customFormat="1" ht="19.899999999999999" customHeight="1" x14ac:dyDescent="0.25">
      <c r="A7" s="461" t="s">
        <v>2</v>
      </c>
      <c r="B7" s="461"/>
      <c r="C7" s="461"/>
      <c r="D7" s="461"/>
      <c r="E7" s="461"/>
      <c r="F7" s="297"/>
      <c r="G7" s="298"/>
    </row>
    <row r="8" spans="1:8" s="280" customFormat="1" ht="18" x14ac:dyDescent="0.25">
      <c r="A8" s="462" t="s">
        <v>212</v>
      </c>
      <c r="B8" s="462"/>
      <c r="C8" s="462"/>
      <c r="D8" s="462"/>
      <c r="E8" s="462"/>
      <c r="F8" s="297"/>
      <c r="G8" s="298"/>
    </row>
    <row r="9" spans="1:8" s="280" customFormat="1" ht="18" x14ac:dyDescent="0.25">
      <c r="A9" s="463" t="s">
        <v>929</v>
      </c>
      <c r="B9" s="463"/>
      <c r="C9" s="463"/>
      <c r="D9" s="463"/>
      <c r="E9" s="463"/>
      <c r="F9" s="299"/>
      <c r="G9" s="298"/>
    </row>
    <row r="10" spans="1:8" s="280" customFormat="1" ht="18" x14ac:dyDescent="0.25">
      <c r="A10" s="464" t="s">
        <v>222</v>
      </c>
      <c r="B10" s="464"/>
      <c r="C10" s="464"/>
      <c r="D10" s="464"/>
      <c r="E10" s="464"/>
      <c r="F10" s="297"/>
      <c r="G10" s="298"/>
    </row>
    <row r="11" spans="1:8" s="280" customFormat="1" ht="18" x14ac:dyDescent="0.25">
      <c r="A11" s="301"/>
      <c r="B11" s="301"/>
      <c r="C11" s="301"/>
      <c r="D11" s="301"/>
      <c r="E11" s="281"/>
      <c r="F11" s="281"/>
      <c r="G11" s="298"/>
    </row>
    <row r="12" spans="1:8" s="280" customFormat="1" ht="18" x14ac:dyDescent="0.25">
      <c r="C12" s="281"/>
      <c r="D12" s="281"/>
      <c r="E12" s="281"/>
      <c r="F12" s="281"/>
      <c r="G12" s="298"/>
    </row>
    <row r="13" spans="1:8" s="302" customFormat="1" ht="24.75" customHeight="1" x14ac:dyDescent="0.2">
      <c r="B13" s="283" t="s">
        <v>95</v>
      </c>
      <c r="C13" s="283" t="s">
        <v>3</v>
      </c>
      <c r="D13" s="283" t="s">
        <v>84</v>
      </c>
      <c r="E13" s="283" t="s">
        <v>85</v>
      </c>
      <c r="F13" s="303"/>
      <c r="G13" s="304"/>
    </row>
    <row r="14" spans="1:8" ht="15.75" x14ac:dyDescent="0.25">
      <c r="A14" s="10" t="s">
        <v>4</v>
      </c>
      <c r="B14" s="10"/>
      <c r="C14" s="286"/>
      <c r="D14" s="286"/>
      <c r="E14" s="286"/>
      <c r="F14" s="286"/>
      <c r="G14" s="287"/>
    </row>
    <row r="15" spans="1:8" x14ac:dyDescent="0.2">
      <c r="A15" s="288" t="s">
        <v>0</v>
      </c>
      <c r="B15" s="288"/>
      <c r="C15" s="286"/>
      <c r="D15" s="286"/>
      <c r="E15" s="286"/>
      <c r="F15" s="286"/>
      <c r="G15" s="287"/>
    </row>
    <row r="16" spans="1:8" x14ac:dyDescent="0.2">
      <c r="A16" s="1" t="s">
        <v>138</v>
      </c>
      <c r="B16" s="14">
        <v>1</v>
      </c>
      <c r="C16" s="286">
        <f>+'A-SITUACION (2)'!D20</f>
        <v>478992267.81999993</v>
      </c>
      <c r="D16" s="286">
        <v>9758779.7371999994</v>
      </c>
      <c r="E16" s="286">
        <f t="shared" ref="E16:E20" si="0">+C16-D16</f>
        <v>469233488.08279991</v>
      </c>
      <c r="F16" s="286"/>
      <c r="G16" s="287"/>
      <c r="H16" s="6"/>
    </row>
    <row r="17" spans="1:8" ht="15.75" x14ac:dyDescent="0.25">
      <c r="A17" s="1" t="s">
        <v>139</v>
      </c>
      <c r="B17" s="14">
        <v>2</v>
      </c>
      <c r="C17" s="286">
        <f>+'Cédula Nota 2 '!E11</f>
        <v>1151106838.28</v>
      </c>
      <c r="D17" s="286">
        <v>2280049950.7399998</v>
      </c>
      <c r="E17" s="286">
        <f t="shared" si="0"/>
        <v>-1128943112.4599998</v>
      </c>
      <c r="F17" s="313"/>
      <c r="G17" s="287"/>
      <c r="H17" s="6"/>
    </row>
    <row r="18" spans="1:8" x14ac:dyDescent="0.2">
      <c r="A18" s="1" t="s">
        <v>140</v>
      </c>
      <c r="B18" s="14">
        <v>3</v>
      </c>
      <c r="C18" s="286">
        <f>+'A-SITUACION (2)'!D39</f>
        <v>44355959.609999999</v>
      </c>
      <c r="D18" s="286">
        <v>52417067.859999999</v>
      </c>
      <c r="E18" s="286">
        <f t="shared" si="0"/>
        <v>-8061108.25</v>
      </c>
      <c r="F18" s="286"/>
      <c r="G18" s="287"/>
      <c r="H18" s="6"/>
    </row>
    <row r="19" spans="1:8" x14ac:dyDescent="0.2">
      <c r="A19" s="1" t="s">
        <v>141</v>
      </c>
      <c r="B19" s="14">
        <v>4</v>
      </c>
      <c r="C19" s="286">
        <f>+'A-SITUACION (2)'!D45</f>
        <v>14645673.789999999</v>
      </c>
      <c r="D19" s="286">
        <v>22119873.039999999</v>
      </c>
      <c r="E19" s="286">
        <f t="shared" si="0"/>
        <v>-7474199.25</v>
      </c>
      <c r="F19" s="286"/>
      <c r="G19" s="287"/>
      <c r="H19" s="6"/>
    </row>
    <row r="20" spans="1:8" x14ac:dyDescent="0.2">
      <c r="A20" s="1" t="s">
        <v>142</v>
      </c>
      <c r="B20" s="14">
        <v>5</v>
      </c>
      <c r="C20" s="286">
        <f>+'NOTA 5  GPA'!C13</f>
        <v>1767772.1375000004</v>
      </c>
      <c r="D20" s="286">
        <v>1211580.4116666671</v>
      </c>
      <c r="E20" s="286">
        <f t="shared" si="0"/>
        <v>556191.72583333333</v>
      </c>
      <c r="F20" s="286"/>
      <c r="G20" s="287"/>
      <c r="H20" s="6"/>
    </row>
    <row r="21" spans="1:8" ht="15.75" x14ac:dyDescent="0.25">
      <c r="A21" s="10" t="s">
        <v>143</v>
      </c>
      <c r="B21" s="10"/>
      <c r="C21" s="289">
        <f>SUM(C16:C20)</f>
        <v>1690868511.6374998</v>
      </c>
      <c r="D21" s="289">
        <f>SUM(D16:D20)-0</f>
        <v>2365557251.7888665</v>
      </c>
      <c r="E21" s="289">
        <f>SUM(E16:E20)</f>
        <v>-674688740.15136659</v>
      </c>
      <c r="F21" s="286"/>
      <c r="H21" s="6"/>
    </row>
    <row r="22" spans="1:8" x14ac:dyDescent="0.2">
      <c r="C22" s="286"/>
      <c r="D22" s="286"/>
      <c r="E22" s="286"/>
      <c r="F22" s="286"/>
      <c r="G22" s="193"/>
      <c r="H22" s="6"/>
    </row>
    <row r="23" spans="1:8" x14ac:dyDescent="0.2">
      <c r="A23" s="288" t="s">
        <v>1</v>
      </c>
      <c r="B23" s="16"/>
      <c r="C23" s="286"/>
      <c r="D23" s="286"/>
      <c r="E23" s="286"/>
      <c r="F23" s="286"/>
      <c r="H23" s="6"/>
    </row>
    <row r="24" spans="1:8" x14ac:dyDescent="0.2">
      <c r="A24" s="1" t="s">
        <v>144</v>
      </c>
      <c r="B24" s="14">
        <v>6</v>
      </c>
      <c r="C24" s="290">
        <f>+'A-SITUACION (2)'!D94</f>
        <v>14853522644.1</v>
      </c>
      <c r="D24" s="290">
        <v>14813522644.1</v>
      </c>
      <c r="E24" s="290">
        <f>C24-D24</f>
        <v>40000000</v>
      </c>
      <c r="F24" s="286"/>
      <c r="G24" s="287"/>
      <c r="H24" s="6"/>
    </row>
    <row r="25" spans="1:8" x14ac:dyDescent="0.2">
      <c r="A25" s="1" t="s">
        <v>258</v>
      </c>
      <c r="B25" s="14">
        <v>7</v>
      </c>
      <c r="C25" s="291">
        <f>+'A-SITUACION (2)'!D109</f>
        <v>27865401.839999989</v>
      </c>
      <c r="D25" s="291">
        <v>28490621.889999986</v>
      </c>
      <c r="E25" s="291">
        <f>C25-D25</f>
        <v>-625220.04999999702</v>
      </c>
      <c r="F25" s="286"/>
      <c r="G25" s="193"/>
      <c r="H25" s="6"/>
    </row>
    <row r="26" spans="1:8" ht="15.75" x14ac:dyDescent="0.25">
      <c r="A26" s="10" t="s">
        <v>145</v>
      </c>
      <c r="B26" s="14"/>
      <c r="C26" s="156">
        <f>SUM(C24:C25)</f>
        <v>14881388045.940001</v>
      </c>
      <c r="D26" s="156">
        <f>SUM(D24:D25)</f>
        <v>14842013265.99</v>
      </c>
      <c r="E26" s="156">
        <f>SUM(E24:E25)</f>
        <v>39374779.950000003</v>
      </c>
      <c r="F26" s="286"/>
      <c r="G26" s="193"/>
      <c r="H26" s="6"/>
    </row>
    <row r="27" spans="1:8" x14ac:dyDescent="0.2">
      <c r="C27" s="286"/>
      <c r="D27" s="286"/>
      <c r="E27" s="286"/>
      <c r="F27" s="286"/>
      <c r="G27" s="193"/>
      <c r="H27" s="6"/>
    </row>
    <row r="28" spans="1:8" ht="22.15" customHeight="1" thickBot="1" x14ac:dyDescent="0.3">
      <c r="A28" s="10" t="s">
        <v>290</v>
      </c>
      <c r="B28" s="10"/>
      <c r="C28" s="292">
        <f>C21+C26</f>
        <v>16572256557.577499</v>
      </c>
      <c r="D28" s="292">
        <f>D21+D26</f>
        <v>17207570517.778866</v>
      </c>
      <c r="E28" s="292">
        <f>E21+E26</f>
        <v>-635313960.20136654</v>
      </c>
      <c r="F28" s="286"/>
      <c r="G28" s="287"/>
      <c r="H28" s="6"/>
    </row>
    <row r="29" spans="1:8" ht="17.25" customHeight="1" thickTop="1" x14ac:dyDescent="0.2">
      <c r="C29" s="286"/>
      <c r="D29" s="286"/>
      <c r="E29" s="286"/>
      <c r="F29" s="286"/>
      <c r="G29" s="287"/>
      <c r="H29" s="6"/>
    </row>
    <row r="30" spans="1:8" ht="15.75" x14ac:dyDescent="0.25">
      <c r="A30" s="10" t="s">
        <v>5</v>
      </c>
      <c r="B30" s="10"/>
      <c r="C30" s="274"/>
      <c r="D30" s="286"/>
      <c r="E30" s="286"/>
      <c r="F30" s="286"/>
      <c r="G30" s="287"/>
      <c r="H30" s="6"/>
    </row>
    <row r="31" spans="1:8" x14ac:dyDescent="0.2">
      <c r="A31" s="288" t="s">
        <v>0</v>
      </c>
      <c r="B31" s="288"/>
      <c r="C31" s="286"/>
      <c r="D31" s="286"/>
      <c r="E31" s="286"/>
      <c r="F31" s="286"/>
      <c r="G31" s="287"/>
      <c r="H31" s="6"/>
    </row>
    <row r="32" spans="1:8" ht="15.75" x14ac:dyDescent="0.25">
      <c r="A32" s="1" t="s">
        <v>146</v>
      </c>
      <c r="B32" s="14">
        <v>8</v>
      </c>
      <c r="C32" s="286">
        <f>+'A-SITUACION (2)'!D122</f>
        <v>11218269.189999999</v>
      </c>
      <c r="D32" s="286">
        <v>3199612.4</v>
      </c>
      <c r="E32" s="290">
        <f>+C32-D32</f>
        <v>8018656.7899999991</v>
      </c>
      <c r="F32" s="286"/>
      <c r="G32" s="313"/>
      <c r="H32" s="6"/>
    </row>
    <row r="33" spans="1:8" ht="15.75" x14ac:dyDescent="0.25">
      <c r="A33" s="1" t="s">
        <v>152</v>
      </c>
      <c r="B33" s="14">
        <v>9</v>
      </c>
      <c r="C33" s="286">
        <f>+'A-SITUACION (2)'!D136</f>
        <v>12642630.67</v>
      </c>
      <c r="D33" s="286">
        <v>36188598.020000003</v>
      </c>
      <c r="E33" s="290">
        <f t="shared" ref="E33:E35" si="1">+C33-D33</f>
        <v>-23545967.350000001</v>
      </c>
      <c r="F33" s="286"/>
      <c r="G33" s="313"/>
      <c r="H33" s="6"/>
    </row>
    <row r="34" spans="1:8" ht="15.75" x14ac:dyDescent="0.25">
      <c r="A34" s="1" t="s">
        <v>147</v>
      </c>
      <c r="B34" s="14">
        <v>10</v>
      </c>
      <c r="C34" s="290">
        <f>+'A-SITUACION (2)'!D140</f>
        <v>30000000</v>
      </c>
      <c r="D34" s="290">
        <v>90000000</v>
      </c>
      <c r="E34" s="290">
        <f t="shared" si="1"/>
        <v>-60000000</v>
      </c>
      <c r="F34" s="286"/>
      <c r="G34" s="313"/>
      <c r="H34" s="6"/>
    </row>
    <row r="35" spans="1:8" ht="15.75" x14ac:dyDescent="0.25">
      <c r="A35" s="1" t="s">
        <v>808</v>
      </c>
      <c r="B35" s="14" t="s">
        <v>810</v>
      </c>
      <c r="C35" s="291">
        <v>0</v>
      </c>
      <c r="D35" s="291">
        <v>21156800</v>
      </c>
      <c r="E35" s="291">
        <f t="shared" si="1"/>
        <v>-21156800</v>
      </c>
      <c r="F35" s="286"/>
      <c r="G35" s="313"/>
      <c r="H35" s="6"/>
    </row>
    <row r="36" spans="1:8" ht="15.75" x14ac:dyDescent="0.25">
      <c r="A36" s="10" t="s">
        <v>148</v>
      </c>
      <c r="B36" s="10"/>
      <c r="C36" s="156">
        <f>SUM(C32:C35)</f>
        <v>53860899.859999999</v>
      </c>
      <c r="D36" s="156">
        <f t="shared" ref="D36:E36" si="2">SUM(D32:D35)</f>
        <v>150545010.42000002</v>
      </c>
      <c r="E36" s="156">
        <f t="shared" si="2"/>
        <v>-96684110.560000002</v>
      </c>
      <c r="F36" s="286"/>
      <c r="G36" s="287"/>
      <c r="H36" s="6"/>
    </row>
    <row r="37" spans="1:8" x14ac:dyDescent="0.2">
      <c r="C37" s="286"/>
      <c r="D37" s="286"/>
      <c r="E37" s="290"/>
      <c r="F37" s="286"/>
      <c r="G37" s="287"/>
      <c r="H37" s="6"/>
    </row>
    <row r="38" spans="1:8" x14ac:dyDescent="0.2">
      <c r="C38" s="286"/>
      <c r="D38" s="286"/>
      <c r="E38" s="290"/>
      <c r="F38" s="286"/>
      <c r="G38" s="287"/>
      <c r="H38" s="6"/>
    </row>
    <row r="39" spans="1:8" ht="15.75" x14ac:dyDescent="0.25">
      <c r="A39" s="10" t="s">
        <v>6</v>
      </c>
      <c r="B39" s="10"/>
      <c r="C39" s="156">
        <f>C36</f>
        <v>53860899.859999999</v>
      </c>
      <c r="D39" s="156">
        <f>D36</f>
        <v>150545010.42000002</v>
      </c>
      <c r="E39" s="156">
        <f>E36</f>
        <v>-96684110.560000002</v>
      </c>
      <c r="F39" s="286"/>
      <c r="G39" s="287"/>
      <c r="H39" s="6"/>
    </row>
    <row r="40" spans="1:8" x14ac:dyDescent="0.2">
      <c r="C40" s="286"/>
      <c r="D40" s="286"/>
      <c r="E40" s="286"/>
      <c r="F40" s="286"/>
      <c r="H40" s="6"/>
    </row>
    <row r="41" spans="1:8" ht="15.75" x14ac:dyDescent="0.25">
      <c r="A41" s="10" t="s">
        <v>7</v>
      </c>
      <c r="B41" s="10"/>
      <c r="C41" s="286"/>
      <c r="D41" s="286"/>
      <c r="E41" s="290"/>
      <c r="F41" s="286"/>
      <c r="H41" s="6"/>
    </row>
    <row r="42" spans="1:8" x14ac:dyDescent="0.2">
      <c r="A42" s="1" t="s">
        <v>149</v>
      </c>
      <c r="B42" s="14">
        <v>11</v>
      </c>
      <c r="C42" s="286">
        <f>+'NOTA 11-CAPITAL'!F26</f>
        <v>22197671812.260002</v>
      </c>
      <c r="D42" s="286">
        <v>22197671812.260002</v>
      </c>
      <c r="E42" s="290">
        <f>+C42-D42</f>
        <v>0</v>
      </c>
      <c r="F42" s="286"/>
      <c r="G42" s="193"/>
      <c r="H42" s="6"/>
    </row>
    <row r="43" spans="1:8" x14ac:dyDescent="0.2">
      <c r="A43" s="1" t="s">
        <v>150</v>
      </c>
      <c r="C43" s="2">
        <v>-3950692531.6399999</v>
      </c>
      <c r="D43" s="2">
        <v>-3950413548.5799999</v>
      </c>
      <c r="E43" s="2">
        <f>+C43-D43</f>
        <v>-278983.05999994278</v>
      </c>
      <c r="G43" s="193"/>
      <c r="H43" s="6"/>
    </row>
    <row r="44" spans="1:8" x14ac:dyDescent="0.2">
      <c r="A44" s="1" t="s">
        <v>151</v>
      </c>
      <c r="C44" s="291">
        <f>+'Estado Resultado'!C36</f>
        <v>-1728583622.8999999</v>
      </c>
      <c r="D44" s="291">
        <v>-1190232756.3199999</v>
      </c>
      <c r="E44" s="291">
        <f>+C44-D44</f>
        <v>-538350866.57999992</v>
      </c>
      <c r="F44" s="286"/>
      <c r="H44" s="6"/>
    </row>
    <row r="45" spans="1:8" x14ac:dyDescent="0.2">
      <c r="C45" s="286"/>
      <c r="D45" s="286"/>
      <c r="E45" s="286"/>
      <c r="F45" s="286"/>
      <c r="H45" s="6"/>
    </row>
    <row r="46" spans="1:8" ht="15.75" x14ac:dyDescent="0.25">
      <c r="A46" s="10" t="s">
        <v>8</v>
      </c>
      <c r="B46" s="10"/>
      <c r="C46" s="156">
        <f>SUM(C42:C44)</f>
        <v>16518395657.720003</v>
      </c>
      <c r="D46" s="156">
        <f>SUM(D42:D44)</f>
        <v>17057025507.360001</v>
      </c>
      <c r="E46" s="156">
        <f>SUM(E42:E44)</f>
        <v>-538629849.63999987</v>
      </c>
      <c r="F46" s="286"/>
      <c r="H46" s="6"/>
    </row>
    <row r="47" spans="1:8" ht="11.25" customHeight="1" x14ac:dyDescent="0.2">
      <c r="C47" s="286"/>
      <c r="D47" s="286"/>
      <c r="E47" s="286"/>
      <c r="F47" s="286"/>
      <c r="H47" s="6"/>
    </row>
    <row r="48" spans="1:8" ht="21" customHeight="1" thickBot="1" x14ac:dyDescent="0.3">
      <c r="A48" s="10" t="s">
        <v>289</v>
      </c>
      <c r="B48" s="10"/>
      <c r="C48" s="292">
        <f>+C39+C46</f>
        <v>16572256557.580004</v>
      </c>
      <c r="D48" s="292">
        <f>+D39+D46</f>
        <v>17207570517.779999</v>
      </c>
      <c r="E48" s="292">
        <f>+E39+E46</f>
        <v>-635313960.19999981</v>
      </c>
      <c r="F48" s="286"/>
      <c r="H48" s="6"/>
    </row>
    <row r="49" spans="1:13" ht="15.75" thickTop="1" x14ac:dyDescent="0.2">
      <c r="B49" s="373"/>
      <c r="C49" s="374"/>
      <c r="D49" s="374"/>
      <c r="E49" s="374"/>
      <c r="F49" s="287"/>
      <c r="H49" s="6"/>
      <c r="M49" s="286"/>
    </row>
    <row r="50" spans="1:13" x14ac:dyDescent="0.2">
      <c r="H50" s="6"/>
      <c r="M50" s="2"/>
    </row>
    <row r="51" spans="1:13" ht="27" customHeight="1" x14ac:dyDescent="0.2">
      <c r="M51" s="2"/>
    </row>
    <row r="52" spans="1:13" ht="12" customHeight="1" x14ac:dyDescent="0.2">
      <c r="A52" s="19"/>
      <c r="B52" s="19"/>
      <c r="M52" s="2"/>
    </row>
    <row r="53" spans="1:13" ht="15" customHeight="1" x14ac:dyDescent="0.2">
      <c r="A53" s="19"/>
      <c r="B53" s="19"/>
      <c r="M53" s="2"/>
    </row>
    <row r="54" spans="1:13" x14ac:dyDescent="0.2">
      <c r="A54" s="20" t="s">
        <v>188</v>
      </c>
      <c r="D54" s="460" t="s">
        <v>11</v>
      </c>
      <c r="E54" s="460"/>
      <c r="H54" s="2"/>
      <c r="M54" s="2"/>
    </row>
    <row r="55" spans="1:13" x14ac:dyDescent="0.2">
      <c r="A55" s="20" t="s">
        <v>257</v>
      </c>
      <c r="B55" s="19"/>
      <c r="D55" s="460" t="s">
        <v>12</v>
      </c>
      <c r="E55" s="460"/>
      <c r="H55" s="2"/>
    </row>
    <row r="56" spans="1:13" x14ac:dyDescent="0.2">
      <c r="A56" s="20"/>
      <c r="B56" s="19"/>
      <c r="H56" s="2"/>
      <c r="M56" s="2"/>
    </row>
    <row r="57" spans="1:13" ht="16.5" customHeight="1" x14ac:dyDescent="0.2">
      <c r="A57" s="19"/>
      <c r="B57" s="19"/>
      <c r="M57" s="6"/>
    </row>
    <row r="58" spans="1:13" ht="16.5" customHeight="1" x14ac:dyDescent="0.2">
      <c r="A58" s="19"/>
      <c r="B58" s="19"/>
      <c r="M58" s="6"/>
    </row>
    <row r="59" spans="1:13" ht="17.25" customHeight="1" x14ac:dyDescent="0.2">
      <c r="M59" s="6"/>
    </row>
    <row r="60" spans="1:13" x14ac:dyDescent="0.2">
      <c r="A60" s="465" t="s">
        <v>162</v>
      </c>
      <c r="B60" s="465"/>
      <c r="C60" s="465"/>
      <c r="D60" s="465"/>
      <c r="E60" s="465"/>
    </row>
    <row r="61" spans="1:13" x14ac:dyDescent="0.2">
      <c r="A61" s="465" t="s">
        <v>163</v>
      </c>
      <c r="B61" s="465"/>
      <c r="C61" s="465"/>
      <c r="D61" s="465"/>
      <c r="E61" s="465"/>
    </row>
    <row r="68" spans="3:7" x14ac:dyDescent="0.2">
      <c r="C68" s="1"/>
      <c r="D68" s="460"/>
      <c r="E68" s="460"/>
      <c r="F68" s="460"/>
      <c r="G68" s="460"/>
    </row>
    <row r="69" spans="3:7" x14ac:dyDescent="0.2">
      <c r="C69" s="1"/>
    </row>
    <row r="70" spans="3:7" x14ac:dyDescent="0.2">
      <c r="C70" s="21"/>
      <c r="D70" s="22"/>
      <c r="F70" s="22"/>
      <c r="G70" s="18"/>
    </row>
    <row r="71" spans="3:7" x14ac:dyDescent="0.2">
      <c r="C71" s="21"/>
      <c r="D71" s="22"/>
      <c r="F71" s="22"/>
      <c r="G71" s="18"/>
    </row>
    <row r="72" spans="3:7" x14ac:dyDescent="0.2">
      <c r="C72" s="21"/>
      <c r="D72" s="22"/>
      <c r="F72" s="22"/>
      <c r="G72" s="18"/>
    </row>
    <row r="73" spans="3:7" x14ac:dyDescent="0.2">
      <c r="C73" s="21"/>
      <c r="D73" s="22"/>
      <c r="F73" s="22"/>
      <c r="G73" s="18"/>
    </row>
    <row r="74" spans="3:7" x14ac:dyDescent="0.2">
      <c r="C74" s="21"/>
      <c r="D74" s="22"/>
      <c r="F74" s="22"/>
      <c r="G74" s="18"/>
    </row>
    <row r="75" spans="3:7" x14ac:dyDescent="0.2">
      <c r="C75" s="21"/>
      <c r="D75" s="22"/>
      <c r="F75" s="22"/>
      <c r="G75" s="18"/>
    </row>
    <row r="76" spans="3:7" x14ac:dyDescent="0.2">
      <c r="C76" s="21"/>
      <c r="D76" s="22"/>
      <c r="F76" s="22"/>
      <c r="G76" s="18"/>
    </row>
    <row r="77" spans="3:7" x14ac:dyDescent="0.2">
      <c r="C77" s="21"/>
      <c r="G77" s="18"/>
    </row>
    <row r="78" spans="3:7" x14ac:dyDescent="0.2">
      <c r="C78" s="23"/>
    </row>
    <row r="79" spans="3:7" x14ac:dyDescent="0.2">
      <c r="C79" s="23"/>
    </row>
    <row r="81" spans="3:3" x14ac:dyDescent="0.2">
      <c r="C81" s="7"/>
    </row>
    <row r="82" spans="3:3" x14ac:dyDescent="0.2">
      <c r="C82" s="7"/>
    </row>
    <row r="83" spans="3:3" x14ac:dyDescent="0.2">
      <c r="C83" s="7"/>
    </row>
    <row r="84" spans="3:3" x14ac:dyDescent="0.2">
      <c r="C84" s="7"/>
    </row>
    <row r="85" spans="3:3" x14ac:dyDescent="0.2">
      <c r="C85" s="7"/>
    </row>
    <row r="86" spans="3:3" x14ac:dyDescent="0.2">
      <c r="C86" s="7"/>
    </row>
    <row r="87" spans="3:3" x14ac:dyDescent="0.2">
      <c r="C87" s="7"/>
    </row>
  </sheetData>
  <mergeCells count="10">
    <mergeCell ref="D68:E68"/>
    <mergeCell ref="F68:G68"/>
    <mergeCell ref="A7:E7"/>
    <mergeCell ref="A8:E8"/>
    <mergeCell ref="A9:E9"/>
    <mergeCell ref="A10:E10"/>
    <mergeCell ref="A60:E60"/>
    <mergeCell ref="A61:E61"/>
    <mergeCell ref="D55:E55"/>
    <mergeCell ref="D54:E54"/>
  </mergeCells>
  <phoneticPr fontId="10" type="noConversion"/>
  <pageMargins left="0.86614173228346458" right="0.86614173228346458" top="0.39370078740157483" bottom="0.19685039370078741" header="0" footer="0"/>
  <pageSetup scale="68" orientation="portrait" r:id="rId1"/>
  <headerFooter alignWithMargins="0"/>
  <ignoredErrors>
    <ignoredError sqref="D2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M53"/>
  <sheetViews>
    <sheetView tabSelected="1" zoomScale="90" zoomScaleNormal="90" workbookViewId="0">
      <selection activeCell="C21" sqref="C21"/>
    </sheetView>
  </sheetViews>
  <sheetFormatPr baseColWidth="10" defaultColWidth="9.140625" defaultRowHeight="15" x14ac:dyDescent="0.2"/>
  <cols>
    <col min="1" max="1" width="46.28515625" style="1" customWidth="1"/>
    <col min="2" max="2" width="10.42578125" style="1" customWidth="1"/>
    <col min="3" max="3" width="26" style="2" bestFit="1" customWidth="1"/>
    <col min="4" max="4" width="26.140625" style="2" customWidth="1"/>
    <col min="5" max="5" width="21.28515625" style="2" bestFit="1" customWidth="1"/>
    <col min="6" max="6" width="17.42578125" style="1" bestFit="1" customWidth="1"/>
    <col min="7" max="7" width="17.5703125" style="1" customWidth="1"/>
    <col min="8" max="8" width="21.140625" style="1" customWidth="1"/>
    <col min="9" max="9" width="19.140625" style="1" bestFit="1" customWidth="1"/>
    <col min="10" max="16384" width="9.140625" style="1"/>
  </cols>
  <sheetData>
    <row r="1" spans="1:13" ht="24.75" customHeight="1" x14ac:dyDescent="0.2">
      <c r="A1" s="174"/>
      <c r="B1" s="174"/>
      <c r="C1" s="175"/>
      <c r="D1" s="175"/>
      <c r="E1" s="175"/>
    </row>
    <row r="2" spans="1:13" x14ac:dyDescent="0.2">
      <c r="A2" s="174"/>
      <c r="B2" s="174"/>
      <c r="C2" s="175"/>
      <c r="D2" s="175"/>
      <c r="E2" s="175"/>
    </row>
    <row r="3" spans="1:13" x14ac:dyDescent="0.2">
      <c r="A3" s="174"/>
      <c r="B3" s="174"/>
      <c r="C3" s="175"/>
      <c r="D3" s="175"/>
      <c r="E3" s="175"/>
    </row>
    <row r="4" spans="1:13" x14ac:dyDescent="0.2">
      <c r="A4" s="174"/>
      <c r="B4" s="174"/>
      <c r="C4" s="175"/>
      <c r="D4" s="175"/>
      <c r="E4" s="175"/>
    </row>
    <row r="5" spans="1:13" x14ac:dyDescent="0.2">
      <c r="A5" s="174"/>
      <c r="B5" s="174"/>
      <c r="C5" s="175"/>
      <c r="D5" s="175"/>
      <c r="E5" s="175"/>
    </row>
    <row r="6" spans="1:13" s="280" customFormat="1" ht="20.25" customHeight="1" x14ac:dyDescent="0.25">
      <c r="A6" s="461" t="s">
        <v>2</v>
      </c>
      <c r="B6" s="461"/>
      <c r="C6" s="461"/>
      <c r="D6" s="461"/>
      <c r="E6" s="461"/>
      <c r="I6" s="305"/>
      <c r="J6" s="305"/>
      <c r="K6" s="305"/>
      <c r="L6" s="305"/>
      <c r="M6" s="305"/>
    </row>
    <row r="7" spans="1:13" s="280" customFormat="1" ht="17.45" customHeight="1" x14ac:dyDescent="0.25">
      <c r="A7" s="462" t="s">
        <v>10</v>
      </c>
      <c r="B7" s="462"/>
      <c r="C7" s="462"/>
      <c r="D7" s="462"/>
      <c r="E7" s="462"/>
      <c r="I7" s="306"/>
      <c r="J7" s="306"/>
      <c r="K7" s="306"/>
      <c r="L7" s="306"/>
      <c r="M7" s="306"/>
    </row>
    <row r="8" spans="1:13" s="280" customFormat="1" ht="17.45" customHeight="1" x14ac:dyDescent="0.25">
      <c r="A8" s="463" t="s">
        <v>929</v>
      </c>
      <c r="B8" s="463"/>
      <c r="C8" s="463"/>
      <c r="D8" s="463"/>
      <c r="E8" s="463"/>
      <c r="I8" s="307"/>
      <c r="J8" s="307"/>
      <c r="K8" s="307"/>
      <c r="L8" s="307"/>
      <c r="M8" s="307"/>
    </row>
    <row r="9" spans="1:13" s="280" customFormat="1" ht="17.45" customHeight="1" x14ac:dyDescent="0.25">
      <c r="A9" s="464" t="s">
        <v>222</v>
      </c>
      <c r="B9" s="464"/>
      <c r="C9" s="464"/>
      <c r="D9" s="464"/>
      <c r="E9" s="464"/>
    </row>
    <row r="10" spans="1:13" s="280" customFormat="1" ht="18" x14ac:dyDescent="0.25">
      <c r="A10" s="300"/>
      <c r="B10" s="300"/>
      <c r="C10" s="300"/>
      <c r="D10" s="300"/>
      <c r="E10" s="300"/>
      <c r="G10" s="282"/>
    </row>
    <row r="11" spans="1:13" s="280" customFormat="1" ht="18" x14ac:dyDescent="0.25">
      <c r="C11" s="308"/>
      <c r="D11" s="308"/>
      <c r="E11" s="308"/>
    </row>
    <row r="12" spans="1:13" s="302" customFormat="1" ht="38.450000000000003" customHeight="1" x14ac:dyDescent="0.2">
      <c r="B12" s="358" t="s">
        <v>792</v>
      </c>
      <c r="C12" s="283" t="s">
        <v>136</v>
      </c>
      <c r="D12" s="283" t="s">
        <v>137</v>
      </c>
      <c r="E12" s="283" t="s">
        <v>85</v>
      </c>
    </row>
    <row r="13" spans="1:13" ht="20.25" customHeight="1" x14ac:dyDescent="0.25">
      <c r="A13" s="10" t="s">
        <v>132</v>
      </c>
      <c r="B13" s="10"/>
      <c r="C13" s="286"/>
      <c r="D13" s="286"/>
      <c r="E13" s="286"/>
    </row>
    <row r="14" spans="1:13" x14ac:dyDescent="0.2">
      <c r="A14" s="1" t="s">
        <v>931</v>
      </c>
      <c r="B14" s="14">
        <v>12</v>
      </c>
      <c r="C14" s="286">
        <f>+'A-RESULTADO (2)'!D13</f>
        <v>1947337702.2</v>
      </c>
      <c r="D14" s="286">
        <v>1947337702.2</v>
      </c>
      <c r="E14" s="286">
        <f>C14-D14</f>
        <v>0</v>
      </c>
    </row>
    <row r="15" spans="1:13" x14ac:dyDescent="0.2">
      <c r="A15" s="1" t="s">
        <v>153</v>
      </c>
      <c r="B15" s="14">
        <v>13</v>
      </c>
      <c r="C15" s="286">
        <f>+'A-RESULTADO (2)'!D17</f>
        <v>158988812.93000001</v>
      </c>
      <c r="D15" s="286">
        <v>141643304.65000001</v>
      </c>
      <c r="E15" s="286">
        <f>C15-D15</f>
        <v>17345508.280000001</v>
      </c>
      <c r="G15" s="286"/>
    </row>
    <row r="16" spans="1:13" x14ac:dyDescent="0.2">
      <c r="A16" s="1" t="s">
        <v>154</v>
      </c>
      <c r="B16" s="14">
        <v>14</v>
      </c>
      <c r="C16" s="291">
        <f>+'A-RESULTADO (2)'!D23</f>
        <v>715738.54</v>
      </c>
      <c r="D16" s="291">
        <v>715738.54</v>
      </c>
      <c r="E16" s="286">
        <f>C16-D16</f>
        <v>0</v>
      </c>
      <c r="G16" s="6"/>
    </row>
    <row r="17" spans="1:8" ht="15.75" x14ac:dyDescent="0.25">
      <c r="A17" s="10" t="s">
        <v>155</v>
      </c>
      <c r="B17" s="10"/>
      <c r="C17" s="289">
        <f>SUM(C14:C16)</f>
        <v>2107042253.6700001</v>
      </c>
      <c r="D17" s="289">
        <f>SUM(D14:D16)</f>
        <v>2089696745.3900001</v>
      </c>
      <c r="E17" s="289">
        <f>SUM(E14:E16)</f>
        <v>17345508.280000001</v>
      </c>
      <c r="G17" s="6"/>
    </row>
    <row r="18" spans="1:8" x14ac:dyDescent="0.2">
      <c r="C18" s="286"/>
      <c r="D18" s="286"/>
      <c r="E18" s="286"/>
    </row>
    <row r="19" spans="1:8" x14ac:dyDescent="0.2">
      <c r="C19" s="286"/>
      <c r="D19" s="286"/>
      <c r="E19" s="286"/>
    </row>
    <row r="20" spans="1:8" ht="15.75" x14ac:dyDescent="0.25">
      <c r="A20" s="10" t="s">
        <v>932</v>
      </c>
      <c r="B20" s="10"/>
      <c r="C20" s="286"/>
      <c r="D20" s="286"/>
      <c r="E20" s="286"/>
    </row>
    <row r="21" spans="1:8" x14ac:dyDescent="0.2">
      <c r="A21" s="1" t="s">
        <v>133</v>
      </c>
      <c r="B21" s="14">
        <v>15</v>
      </c>
      <c r="C21" s="294">
        <f>+'A-RESULTADO (2)'!D50</f>
        <v>206419621.22000003</v>
      </c>
      <c r="D21" s="294">
        <v>190778559.82000002</v>
      </c>
      <c r="E21" s="286">
        <f>C21-D21</f>
        <v>15641061.400000006</v>
      </c>
      <c r="G21" s="164"/>
    </row>
    <row r="22" spans="1:8" x14ac:dyDescent="0.2">
      <c r="A22" s="1" t="s">
        <v>156</v>
      </c>
      <c r="B22" s="14">
        <v>16</v>
      </c>
      <c r="C22" s="294">
        <f>+'A-RESULTADO (2)'!D81</f>
        <v>347072723.92000002</v>
      </c>
      <c r="D22" s="294">
        <v>334252943.30000001</v>
      </c>
      <c r="E22" s="286">
        <f>C22-D22</f>
        <v>12819780.620000005</v>
      </c>
      <c r="G22" s="164"/>
    </row>
    <row r="23" spans="1:8" x14ac:dyDescent="0.2">
      <c r="A23" s="1" t="s">
        <v>157</v>
      </c>
      <c r="B23" s="14">
        <v>17</v>
      </c>
      <c r="C23" s="294">
        <f>+'A-RESULTADO (2)'!D105</f>
        <v>22830708.929999996</v>
      </c>
      <c r="D23" s="294">
        <v>20733536.149999999</v>
      </c>
      <c r="E23" s="286">
        <f>C23-D23</f>
        <v>2097172.7799999975</v>
      </c>
      <c r="G23" s="164"/>
    </row>
    <row r="24" spans="1:8" x14ac:dyDescent="0.2">
      <c r="A24" s="1" t="s">
        <v>158</v>
      </c>
      <c r="B24" s="14">
        <v>18</v>
      </c>
      <c r="C24" s="295">
        <f>+'A-RESULTADO (2)'!D118</f>
        <v>3264530026.7199998</v>
      </c>
      <c r="D24" s="295">
        <v>2739390959.23</v>
      </c>
      <c r="E24" s="286">
        <f>C24-D24</f>
        <v>525139067.48999977</v>
      </c>
      <c r="G24" s="6"/>
    </row>
    <row r="25" spans="1:8" ht="15.75" x14ac:dyDescent="0.25">
      <c r="A25" s="10" t="s">
        <v>159</v>
      </c>
      <c r="B25" s="10"/>
      <c r="C25" s="289">
        <f>SUM(C21:C24)</f>
        <v>3840853080.79</v>
      </c>
      <c r="D25" s="289">
        <f>SUM(D21:D24)</f>
        <v>3285155998.5</v>
      </c>
      <c r="E25" s="289">
        <f>SUM(E21:E24)</f>
        <v>555697082.28999972</v>
      </c>
      <c r="F25" s="2"/>
      <c r="G25" s="6"/>
      <c r="H25" s="6"/>
    </row>
    <row r="26" spans="1:8" x14ac:dyDescent="0.2">
      <c r="C26" s="286"/>
      <c r="D26" s="286"/>
      <c r="E26" s="286"/>
      <c r="F26" s="2"/>
    </row>
    <row r="27" spans="1:8" ht="22.5" customHeight="1" x14ac:dyDescent="0.25">
      <c r="A27" s="10" t="s">
        <v>160</v>
      </c>
      <c r="B27" s="10"/>
      <c r="C27" s="156">
        <f>+C17-C25</f>
        <v>-1733810827.1199999</v>
      </c>
      <c r="D27" s="156">
        <f>+D17-D25</f>
        <v>-1195459253.1099999</v>
      </c>
      <c r="E27" s="156">
        <f>+E17-E25</f>
        <v>-538351574.00999975</v>
      </c>
    </row>
    <row r="28" spans="1:8" x14ac:dyDescent="0.2">
      <c r="C28" s="286"/>
      <c r="D28" s="286"/>
      <c r="E28" s="286"/>
      <c r="F28" s="6"/>
    </row>
    <row r="29" spans="1:8" ht="18" customHeight="1" x14ac:dyDescent="0.25">
      <c r="A29" s="10" t="s">
        <v>933</v>
      </c>
      <c r="B29" s="10"/>
      <c r="C29" s="290"/>
      <c r="D29" s="290"/>
      <c r="E29" s="290"/>
    </row>
    <row r="30" spans="1:8" x14ac:dyDescent="0.2">
      <c r="A30" s="1" t="s">
        <v>381</v>
      </c>
      <c r="B30" s="14">
        <v>19</v>
      </c>
      <c r="C30" s="290">
        <f>+'A-RESULTADO (2)'!D123</f>
        <v>29886179.370000001</v>
      </c>
      <c r="D30" s="290">
        <v>29885471.940000001</v>
      </c>
      <c r="E30" s="290">
        <f>C30-D30</f>
        <v>707.42999999970198</v>
      </c>
    </row>
    <row r="31" spans="1:8" x14ac:dyDescent="0.2">
      <c r="A31" s="1" t="s">
        <v>382</v>
      </c>
      <c r="B31" s="14"/>
      <c r="C31" s="291">
        <f>+'A-RESULTADO (2)'!D122</f>
        <v>-24658975.149999999</v>
      </c>
      <c r="D31" s="291">
        <v>-24658975.149999999</v>
      </c>
      <c r="E31" s="291">
        <f>+C31-D31</f>
        <v>0</v>
      </c>
      <c r="G31" s="6"/>
    </row>
    <row r="32" spans="1:8" ht="18" customHeight="1" x14ac:dyDescent="0.25">
      <c r="A32" s="10" t="s">
        <v>934</v>
      </c>
      <c r="B32" s="10"/>
      <c r="C32" s="156">
        <f>SUM(C30:C31)</f>
        <v>5227204.2200000025</v>
      </c>
      <c r="D32" s="156">
        <f>SUM(D30:D31)</f>
        <v>5226496.7900000028</v>
      </c>
      <c r="E32" s="156">
        <f>SUM(E30:E31)</f>
        <v>707.42999999970198</v>
      </c>
    </row>
    <row r="33" spans="1:5" x14ac:dyDescent="0.2">
      <c r="C33" s="286"/>
      <c r="D33" s="286"/>
      <c r="E33" s="286"/>
    </row>
    <row r="34" spans="1:5" x14ac:dyDescent="0.2">
      <c r="C34" s="286"/>
      <c r="D34" s="286"/>
      <c r="E34" s="286"/>
    </row>
    <row r="35" spans="1:5" x14ac:dyDescent="0.2">
      <c r="C35" s="286"/>
      <c r="D35" s="286"/>
      <c r="E35" s="286"/>
    </row>
    <row r="36" spans="1:5" ht="16.5" thickBot="1" x14ac:dyDescent="0.3">
      <c r="A36" s="10" t="s">
        <v>291</v>
      </c>
      <c r="B36" s="296"/>
      <c r="C36" s="292">
        <f>C27+C32</f>
        <v>-1728583622.8999999</v>
      </c>
      <c r="D36" s="292">
        <f>D27+D32</f>
        <v>-1190232756.3199999</v>
      </c>
      <c r="E36" s="292">
        <f>E27+E32</f>
        <v>-538350866.5799998</v>
      </c>
    </row>
    <row r="37" spans="1:5" ht="15.75" thickTop="1" x14ac:dyDescent="0.2">
      <c r="C37" s="293">
        <f>C27-C36+C32</f>
        <v>-2.6077032089233398E-8</v>
      </c>
      <c r="D37" s="293">
        <f>D27-D36+D32</f>
        <v>4.0978193283081055E-8</v>
      </c>
      <c r="E37" s="293">
        <f>E27-E36+E32</f>
        <v>5.2154064178466797E-8</v>
      </c>
    </row>
    <row r="38" spans="1:5" x14ac:dyDescent="0.2">
      <c r="C38" s="286"/>
      <c r="D38" s="286"/>
      <c r="E38" s="293"/>
    </row>
    <row r="39" spans="1:5" x14ac:dyDescent="0.2">
      <c r="C39" s="293"/>
      <c r="D39" s="286"/>
      <c r="E39" s="293"/>
    </row>
    <row r="40" spans="1:5" x14ac:dyDescent="0.2">
      <c r="A40" s="174"/>
      <c r="B40" s="174"/>
      <c r="C40" s="175"/>
      <c r="D40" s="175"/>
      <c r="E40" s="176"/>
    </row>
    <row r="41" spans="1:5" x14ac:dyDescent="0.2">
      <c r="A41" s="174"/>
      <c r="B41" s="174"/>
      <c r="C41" s="175"/>
      <c r="D41" s="175"/>
      <c r="E41" s="175"/>
    </row>
    <row r="42" spans="1:5" x14ac:dyDescent="0.2">
      <c r="A42" s="177"/>
      <c r="B42" s="177"/>
      <c r="C42" s="175"/>
      <c r="D42" s="175"/>
      <c r="E42" s="175"/>
    </row>
    <row r="43" spans="1:5" x14ac:dyDescent="0.2">
      <c r="A43" s="175"/>
      <c r="B43" s="175"/>
      <c r="C43" s="175"/>
      <c r="D43" s="175"/>
      <c r="E43" s="175"/>
    </row>
    <row r="44" spans="1:5" x14ac:dyDescent="0.2">
      <c r="A44" s="175"/>
      <c r="B44" s="175"/>
      <c r="C44" s="175"/>
      <c r="D44" s="175"/>
      <c r="E44" s="175"/>
    </row>
    <row r="45" spans="1:5" x14ac:dyDescent="0.2">
      <c r="A45" s="178" t="s">
        <v>288</v>
      </c>
      <c r="B45" s="175"/>
      <c r="C45" s="175"/>
      <c r="D45" s="467" t="s">
        <v>11</v>
      </c>
      <c r="E45" s="467"/>
    </row>
    <row r="46" spans="1:5" x14ac:dyDescent="0.2">
      <c r="A46" s="178" t="str">
        <f>+'Estado Situacion'!A55</f>
        <v>Encargado División de Contabilidad</v>
      </c>
      <c r="B46" s="175"/>
      <c r="C46" s="175"/>
      <c r="D46" s="467" t="s">
        <v>12</v>
      </c>
      <c r="E46" s="467"/>
    </row>
    <row r="47" spans="1:5" x14ac:dyDescent="0.2">
      <c r="A47" s="177"/>
      <c r="B47" s="177"/>
      <c r="C47" s="175"/>
      <c r="D47" s="175"/>
      <c r="E47" s="175"/>
    </row>
    <row r="48" spans="1:5" x14ac:dyDescent="0.2">
      <c r="A48" s="177"/>
      <c r="B48" s="177"/>
      <c r="C48" s="175"/>
      <c r="D48" s="175"/>
      <c r="E48" s="175"/>
    </row>
    <row r="49" spans="1:5" x14ac:dyDescent="0.2">
      <c r="A49" s="174"/>
      <c r="B49" s="174"/>
      <c r="C49" s="175"/>
      <c r="D49" s="175"/>
      <c r="E49" s="175"/>
    </row>
    <row r="50" spans="1:5" x14ac:dyDescent="0.2">
      <c r="A50" s="174"/>
      <c r="B50" s="174"/>
      <c r="C50" s="175"/>
      <c r="D50" s="175"/>
      <c r="E50" s="175"/>
    </row>
    <row r="51" spans="1:5" x14ac:dyDescent="0.2">
      <c r="A51" s="466" t="s">
        <v>162</v>
      </c>
      <c r="B51" s="466"/>
      <c r="C51" s="466"/>
      <c r="D51" s="466"/>
      <c r="E51" s="466"/>
    </row>
    <row r="52" spans="1:5" x14ac:dyDescent="0.2">
      <c r="A52" s="466" t="s">
        <v>163</v>
      </c>
      <c r="B52" s="466"/>
      <c r="C52" s="466"/>
      <c r="D52" s="466"/>
      <c r="E52" s="466"/>
    </row>
    <row r="53" spans="1:5" x14ac:dyDescent="0.2">
      <c r="A53" s="174"/>
      <c r="B53" s="174"/>
      <c r="C53" s="175"/>
      <c r="D53" s="175"/>
      <c r="E53" s="175"/>
    </row>
  </sheetData>
  <mergeCells count="8">
    <mergeCell ref="A51:E51"/>
    <mergeCell ref="A52:E52"/>
    <mergeCell ref="A6:E6"/>
    <mergeCell ref="A7:E7"/>
    <mergeCell ref="A8:E8"/>
    <mergeCell ref="A9:E9"/>
    <mergeCell ref="D45:E45"/>
    <mergeCell ref="D46:E46"/>
  </mergeCells>
  <phoneticPr fontId="10" type="noConversion"/>
  <pageMargins left="0.82" right="0.6" top="0.43" bottom="1" header="0" footer="0"/>
  <pageSetup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K263"/>
  <sheetViews>
    <sheetView topLeftCell="A141" zoomScale="110" zoomScaleNormal="110" zoomScaleSheetLayoutView="90" workbookViewId="0">
      <selection activeCell="D128" sqref="D128"/>
    </sheetView>
  </sheetViews>
  <sheetFormatPr baseColWidth="10" defaultColWidth="11.5703125" defaultRowHeight="15" x14ac:dyDescent="0.2"/>
  <cols>
    <col min="1" max="1" width="3.7109375" style="1" customWidth="1"/>
    <col min="2" max="2" width="67.140625" style="1" customWidth="1"/>
    <col min="3" max="3" width="12.140625" style="14" customWidth="1"/>
    <col min="4" max="5" width="29.42578125" style="2" bestFit="1" customWidth="1"/>
    <col min="6" max="6" width="24.7109375" style="2" bestFit="1" customWidth="1"/>
    <col min="7" max="7" width="16.42578125" style="1" bestFit="1" customWidth="1"/>
    <col min="8" max="8" width="38.140625" style="1" customWidth="1"/>
    <col min="9" max="9" width="19.7109375" style="1" bestFit="1" customWidth="1"/>
    <col min="10" max="10" width="18.28515625" style="1" bestFit="1" customWidth="1"/>
    <col min="11" max="11" width="14.42578125" style="1" bestFit="1" customWidth="1"/>
    <col min="12" max="16384" width="11.5703125" style="1"/>
  </cols>
  <sheetData>
    <row r="1" spans="2:10" x14ac:dyDescent="0.2">
      <c r="B1" s="145"/>
      <c r="C1" s="276"/>
      <c r="D1" s="277"/>
      <c r="E1" s="277"/>
      <c r="F1" s="277"/>
    </row>
    <row r="2" spans="2:10" x14ac:dyDescent="0.2">
      <c r="D2" s="1"/>
      <c r="E2" s="1"/>
      <c r="F2" s="1"/>
    </row>
    <row r="3" spans="2:10" x14ac:dyDescent="0.2">
      <c r="D3" s="1"/>
      <c r="E3" s="1"/>
      <c r="F3" s="1"/>
    </row>
    <row r="4" spans="2:10" x14ac:dyDescent="0.2">
      <c r="D4" s="1"/>
      <c r="E4" s="1"/>
      <c r="F4" s="1"/>
    </row>
    <row r="5" spans="2:10" x14ac:dyDescent="0.2">
      <c r="D5" s="1"/>
      <c r="E5" s="1"/>
      <c r="F5" s="1"/>
    </row>
    <row r="6" spans="2:10" s="280" customFormat="1" ht="20.45" customHeight="1" x14ac:dyDescent="0.25">
      <c r="B6" s="278" t="s">
        <v>213</v>
      </c>
      <c r="C6" s="279"/>
      <c r="D6" s="278"/>
      <c r="E6" s="278"/>
      <c r="F6" s="278"/>
      <c r="I6" s="281"/>
      <c r="J6" s="282"/>
    </row>
    <row r="7" spans="2:10" s="280" customFormat="1" ht="20.45" customHeight="1" x14ac:dyDescent="0.25">
      <c r="B7" s="278" t="s">
        <v>929</v>
      </c>
      <c r="C7" s="279"/>
      <c r="D7" s="278"/>
      <c r="E7" s="278"/>
      <c r="F7" s="278"/>
      <c r="I7" s="281"/>
      <c r="J7" s="282"/>
    </row>
    <row r="8" spans="2:10" s="280" customFormat="1" ht="20.45" customHeight="1" x14ac:dyDescent="0.25">
      <c r="B8" s="278" t="s">
        <v>806</v>
      </c>
      <c r="C8" s="279"/>
      <c r="D8" s="278"/>
      <c r="E8" s="278"/>
      <c r="F8" s="278"/>
      <c r="I8" s="281"/>
    </row>
    <row r="9" spans="2:10" s="280" customFormat="1" ht="22.5" customHeight="1" x14ac:dyDescent="0.25">
      <c r="B9" s="278"/>
      <c r="C9" s="283" t="s">
        <v>95</v>
      </c>
      <c r="D9" s="283" t="s">
        <v>3</v>
      </c>
      <c r="E9" s="283" t="s">
        <v>84</v>
      </c>
      <c r="F9" s="283" t="s">
        <v>85</v>
      </c>
      <c r="I9" s="281"/>
    </row>
    <row r="10" spans="2:10" ht="15.75" x14ac:dyDescent="0.25">
      <c r="B10" s="10"/>
      <c r="C10" s="9"/>
      <c r="D10" s="10"/>
      <c r="E10" s="10"/>
      <c r="F10" s="10"/>
      <c r="I10" s="2"/>
    </row>
    <row r="11" spans="2:10" x14ac:dyDescent="0.2">
      <c r="D11" s="1"/>
      <c r="E11" s="1"/>
      <c r="F11" s="1"/>
      <c r="I11" s="2"/>
    </row>
    <row r="12" spans="2:10" ht="23.25" customHeight="1" x14ac:dyDescent="0.25">
      <c r="B12" s="10" t="s">
        <v>110</v>
      </c>
      <c r="C12" s="9">
        <v>1</v>
      </c>
      <c r="D12" s="1"/>
      <c r="E12" s="1"/>
      <c r="F12" s="1"/>
      <c r="I12" s="2"/>
    </row>
    <row r="13" spans="2:10" ht="15" customHeight="1" x14ac:dyDescent="0.2">
      <c r="B13" s="1" t="s">
        <v>925</v>
      </c>
      <c r="D13" s="2">
        <f>+'Cédula Nota 1'!D9</f>
        <v>192556.38</v>
      </c>
      <c r="E13" s="2">
        <v>0</v>
      </c>
      <c r="F13" s="2">
        <f>D13-E13</f>
        <v>192556.38</v>
      </c>
      <c r="I13" s="2"/>
    </row>
    <row r="14" spans="2:10" ht="15" customHeight="1" x14ac:dyDescent="0.2">
      <c r="B14" s="1" t="s">
        <v>111</v>
      </c>
      <c r="D14" s="2">
        <v>200000</v>
      </c>
      <c r="E14" s="2">
        <v>200000</v>
      </c>
      <c r="F14" s="2">
        <f t="shared" ref="F14:F18" si="0">D14-E14</f>
        <v>0</v>
      </c>
      <c r="I14" s="2"/>
    </row>
    <row r="15" spans="2:10" ht="15" customHeight="1" x14ac:dyDescent="0.2">
      <c r="B15" s="1" t="s">
        <v>112</v>
      </c>
      <c r="D15" s="2">
        <f>+'Cédula Nota 1'!D11</f>
        <v>477745170.49000001</v>
      </c>
      <c r="E15" s="2">
        <v>8704969.0099999998</v>
      </c>
      <c r="F15" s="2">
        <f t="shared" si="0"/>
        <v>469040201.48000002</v>
      </c>
      <c r="I15" s="2"/>
    </row>
    <row r="16" spans="2:10" ht="15" customHeight="1" x14ac:dyDescent="0.2">
      <c r="B16" s="1" t="s">
        <v>238</v>
      </c>
      <c r="D16" s="2">
        <f>+'Cédula Nota 1'!D12</f>
        <v>51696.27</v>
      </c>
      <c r="E16" s="2">
        <v>51871.47</v>
      </c>
      <c r="F16" s="2">
        <f t="shared" si="0"/>
        <v>-175.20000000000437</v>
      </c>
      <c r="I16" s="2"/>
    </row>
    <row r="17" spans="2:9" ht="15" customHeight="1" x14ac:dyDescent="0.2">
      <c r="B17" s="1" t="s">
        <v>239</v>
      </c>
      <c r="D17" s="2">
        <f>+'Cédula Nota 1'!D13</f>
        <v>14152.03</v>
      </c>
      <c r="E17" s="2">
        <v>14148.54</v>
      </c>
      <c r="F17" s="2">
        <f t="shared" si="0"/>
        <v>3.4899999999997817</v>
      </c>
      <c r="G17" s="6"/>
      <c r="I17" s="2"/>
    </row>
    <row r="18" spans="2:9" ht="15" customHeight="1" x14ac:dyDescent="0.2">
      <c r="B18" s="1" t="s">
        <v>240</v>
      </c>
      <c r="D18" s="2">
        <f>+'Cédula Nota 1'!D14</f>
        <v>788692.65</v>
      </c>
      <c r="E18" s="2">
        <v>787790.71720000007</v>
      </c>
      <c r="F18" s="2">
        <f t="shared" si="0"/>
        <v>901.93279999995138</v>
      </c>
      <c r="H18" s="6"/>
      <c r="I18" s="2"/>
    </row>
    <row r="19" spans="2:9" x14ac:dyDescent="0.2">
      <c r="C19" s="169" t="s">
        <v>935</v>
      </c>
      <c r="I19" s="2"/>
    </row>
    <row r="20" spans="2:9" ht="15.75" x14ac:dyDescent="0.25">
      <c r="B20" s="10" t="s">
        <v>113</v>
      </c>
      <c r="C20" s="14" t="s">
        <v>9</v>
      </c>
      <c r="D20" s="170">
        <f>SUM(D13:D18)</f>
        <v>478992267.81999993</v>
      </c>
      <c r="E20" s="170">
        <f>SUM(E13:E18)</f>
        <v>9758779.7371999994</v>
      </c>
      <c r="F20" s="170">
        <f>SUM(F13:F18)</f>
        <v>469233488.08280003</v>
      </c>
    </row>
    <row r="21" spans="2:9" x14ac:dyDescent="0.2">
      <c r="C21" s="14" t="s">
        <v>9</v>
      </c>
      <c r="D21" s="11"/>
      <c r="E21" s="11"/>
    </row>
    <row r="22" spans="2:9" x14ac:dyDescent="0.2">
      <c r="C22" s="14" t="s">
        <v>9</v>
      </c>
      <c r="D22" s="11"/>
      <c r="E22" s="11"/>
    </row>
    <row r="23" spans="2:9" ht="15.75" x14ac:dyDescent="0.25">
      <c r="B23" s="10" t="s">
        <v>263</v>
      </c>
      <c r="C23" s="9">
        <v>2</v>
      </c>
      <c r="D23" s="11"/>
      <c r="E23" s="11"/>
    </row>
    <row r="24" spans="2:9" x14ac:dyDescent="0.2">
      <c r="B24" s="1" t="s">
        <v>862</v>
      </c>
      <c r="C24" s="14" t="s">
        <v>9</v>
      </c>
      <c r="D24" s="11">
        <f>+'Cédula Nota 2 '!E11</f>
        <v>1151106838.28</v>
      </c>
      <c r="E24" s="11">
        <v>2280049950.7399998</v>
      </c>
      <c r="F24" s="2">
        <f>D24-E24</f>
        <v>-1128943112.4599998</v>
      </c>
    </row>
    <row r="25" spans="2:9" hidden="1" x14ac:dyDescent="0.2">
      <c r="B25" s="1" t="s">
        <v>937</v>
      </c>
      <c r="D25" s="11">
        <f>+'Cédula Nota 2 '!C11</f>
        <v>0</v>
      </c>
      <c r="E25" s="11">
        <v>0</v>
      </c>
      <c r="F25" s="2">
        <f>D25-E25</f>
        <v>0</v>
      </c>
      <c r="H25" s="6"/>
    </row>
    <row r="26" spans="2:9" hidden="1" x14ac:dyDescent="0.2">
      <c r="B26" s="1" t="s">
        <v>938</v>
      </c>
      <c r="C26" s="14" t="s">
        <v>9</v>
      </c>
      <c r="D26" s="11">
        <v>0</v>
      </c>
      <c r="E26" s="11">
        <v>0</v>
      </c>
      <c r="F26" s="2">
        <f>D26-E26</f>
        <v>0</v>
      </c>
    </row>
    <row r="27" spans="2:9" x14ac:dyDescent="0.2">
      <c r="C27" s="169" t="s">
        <v>935</v>
      </c>
      <c r="D27" s="11"/>
      <c r="E27" s="11"/>
    </row>
    <row r="28" spans="2:9" ht="15.75" x14ac:dyDescent="0.25">
      <c r="B28" s="10" t="s">
        <v>259</v>
      </c>
      <c r="C28" s="14" t="s">
        <v>9</v>
      </c>
      <c r="D28" s="170">
        <f>SUM(D24:D27)</f>
        <v>1151106838.28</v>
      </c>
      <c r="E28" s="170">
        <f>SUM(E24:E27)</f>
        <v>2280049950.7399998</v>
      </c>
      <c r="F28" s="170">
        <f>SUM(F24:F27)</f>
        <v>-1128943112.4599998</v>
      </c>
    </row>
    <row r="29" spans="2:9" x14ac:dyDescent="0.2">
      <c r="C29" s="14" t="s">
        <v>9</v>
      </c>
    </row>
    <row r="30" spans="2:9" x14ac:dyDescent="0.2">
      <c r="C30" s="14" t="s">
        <v>9</v>
      </c>
    </row>
    <row r="31" spans="2:9" ht="15.75" x14ac:dyDescent="0.25">
      <c r="B31" s="10" t="s">
        <v>264</v>
      </c>
      <c r="C31" s="9">
        <v>3</v>
      </c>
    </row>
    <row r="32" spans="2:9" hidden="1" x14ac:dyDescent="0.2">
      <c r="B32" s="1" t="s">
        <v>939</v>
      </c>
      <c r="C32" s="14" t="s">
        <v>9</v>
      </c>
      <c r="D32" s="2">
        <v>0</v>
      </c>
      <c r="E32" s="2">
        <v>0</v>
      </c>
      <c r="F32" s="2">
        <f t="shared" ref="F32:F37" si="1">D32-E32</f>
        <v>0</v>
      </c>
    </row>
    <row r="33" spans="2:6" x14ac:dyDescent="0.2">
      <c r="B33" s="1" t="s">
        <v>241</v>
      </c>
      <c r="C33" s="14" t="s">
        <v>9</v>
      </c>
      <c r="D33" s="2">
        <f>+'Nota 3 Resumen'!C9</f>
        <v>15180461.599999998</v>
      </c>
      <c r="E33" s="2">
        <v>17015046.909999996</v>
      </c>
      <c r="F33" s="2">
        <f t="shared" si="1"/>
        <v>-1834585.3099999987</v>
      </c>
    </row>
    <row r="34" spans="2:6" x14ac:dyDescent="0.2">
      <c r="B34" s="1" t="s">
        <v>64</v>
      </c>
      <c r="C34" s="14" t="s">
        <v>9</v>
      </c>
      <c r="D34" s="2">
        <f>+'Nota 3 Resumen'!C10</f>
        <v>22460108.780000001</v>
      </c>
      <c r="E34" s="2">
        <v>22460108.780000001</v>
      </c>
      <c r="F34" s="2">
        <f t="shared" si="1"/>
        <v>0</v>
      </c>
    </row>
    <row r="35" spans="2:6" x14ac:dyDescent="0.2">
      <c r="B35" s="1" t="s">
        <v>936</v>
      </c>
      <c r="D35" s="2">
        <f>+'Nota 3 Resumen'!C11</f>
        <v>6400269.9900000002</v>
      </c>
      <c r="E35" s="2">
        <v>12612120.6</v>
      </c>
      <c r="F35" s="2">
        <f t="shared" si="1"/>
        <v>-6211850.6099999994</v>
      </c>
    </row>
    <row r="36" spans="2:6" x14ac:dyDescent="0.2">
      <c r="B36" s="1" t="s">
        <v>348</v>
      </c>
      <c r="D36" s="2">
        <f>+'Nota 3 Resumen'!C12</f>
        <v>27598.22</v>
      </c>
      <c r="E36" s="2">
        <v>40957</v>
      </c>
      <c r="F36" s="2">
        <f t="shared" si="1"/>
        <v>-13358.779999999999</v>
      </c>
    </row>
    <row r="37" spans="2:6" x14ac:dyDescent="0.2">
      <c r="B37" s="1" t="s">
        <v>114</v>
      </c>
      <c r="C37" s="14" t="s">
        <v>9</v>
      </c>
      <c r="D37" s="2">
        <f>+'Nota 3 Resumen'!C13</f>
        <v>287521.02</v>
      </c>
      <c r="E37" s="2">
        <v>288834.57</v>
      </c>
      <c r="F37" s="2">
        <f t="shared" si="1"/>
        <v>-1313.5499999999884</v>
      </c>
    </row>
    <row r="38" spans="2:6" x14ac:dyDescent="0.2">
      <c r="C38" s="169" t="s">
        <v>935</v>
      </c>
    </row>
    <row r="39" spans="2:6" ht="15.75" x14ac:dyDescent="0.25">
      <c r="B39" s="10" t="s">
        <v>126</v>
      </c>
      <c r="C39" s="14" t="s">
        <v>9</v>
      </c>
      <c r="D39" s="170">
        <f>SUM(D32:D37)</f>
        <v>44355959.609999999</v>
      </c>
      <c r="E39" s="170">
        <f>SUM(E32:E37)</f>
        <v>52417067.859999999</v>
      </c>
      <c r="F39" s="170">
        <f>SUM(F32:F37)</f>
        <v>-8061108.2499999981</v>
      </c>
    </row>
    <row r="40" spans="2:6" x14ac:dyDescent="0.2">
      <c r="C40" s="14" t="s">
        <v>9</v>
      </c>
      <c r="D40" s="11"/>
      <c r="E40" s="11"/>
      <c r="F40" s="11"/>
    </row>
    <row r="41" spans="2:6" x14ac:dyDescent="0.2">
      <c r="C41" s="14" t="s">
        <v>9</v>
      </c>
      <c r="D41" s="11"/>
      <c r="E41" s="11"/>
      <c r="F41" s="11"/>
    </row>
    <row r="42" spans="2:6" ht="15.75" x14ac:dyDescent="0.25">
      <c r="B42" s="10" t="s">
        <v>265</v>
      </c>
      <c r="C42" s="9">
        <v>4</v>
      </c>
      <c r="D42" s="11"/>
      <c r="E42" s="11"/>
      <c r="F42" s="11"/>
    </row>
    <row r="43" spans="2:6" x14ac:dyDescent="0.2">
      <c r="B43" s="1" t="s">
        <v>127</v>
      </c>
      <c r="C43" s="14" t="s">
        <v>9</v>
      </c>
      <c r="D43" s="11">
        <f>+'NOTA 4  INVENTARIO'!C25</f>
        <v>14645673.789999999</v>
      </c>
      <c r="E43" s="11">
        <v>22119873.039999999</v>
      </c>
      <c r="F43" s="11">
        <f>D43-E43</f>
        <v>-7474199.25</v>
      </c>
    </row>
    <row r="44" spans="2:6" x14ac:dyDescent="0.2">
      <c r="C44" s="169" t="s">
        <v>935</v>
      </c>
      <c r="D44" s="11"/>
      <c r="E44" s="11"/>
      <c r="F44" s="11"/>
    </row>
    <row r="45" spans="2:6" ht="15.75" x14ac:dyDescent="0.25">
      <c r="B45" s="10" t="s">
        <v>128</v>
      </c>
      <c r="C45" s="14" t="s">
        <v>9</v>
      </c>
      <c r="D45" s="170">
        <f>SUM(D43:D43)</f>
        <v>14645673.789999999</v>
      </c>
      <c r="E45" s="170">
        <f>SUM(E43:E43)</f>
        <v>22119873.039999999</v>
      </c>
      <c r="F45" s="170">
        <f>SUM(F43:F43)</f>
        <v>-7474199.25</v>
      </c>
    </row>
    <row r="46" spans="2:6" x14ac:dyDescent="0.2">
      <c r="D46" s="11"/>
      <c r="E46" s="11"/>
      <c r="F46" s="11"/>
    </row>
    <row r="47" spans="2:6" x14ac:dyDescent="0.2">
      <c r="D47" s="11"/>
      <c r="E47" s="11"/>
      <c r="F47" s="11"/>
    </row>
    <row r="48" spans="2:6" ht="15.75" x14ac:dyDescent="0.25">
      <c r="B48" s="10" t="s">
        <v>266</v>
      </c>
      <c r="C48" s="9">
        <v>5</v>
      </c>
      <c r="D48" s="11"/>
      <c r="E48" s="11"/>
      <c r="F48" s="11"/>
    </row>
    <row r="49" spans="2:11" x14ac:dyDescent="0.2">
      <c r="B49" s="1" t="s">
        <v>940</v>
      </c>
      <c r="D49" s="11">
        <f>+'NOTA 5  GPA'!C9</f>
        <v>815675.44</v>
      </c>
      <c r="E49" s="11">
        <v>0</v>
      </c>
      <c r="F49" s="11">
        <f>D49-E49</f>
        <v>815675.44</v>
      </c>
    </row>
    <row r="50" spans="2:11" x14ac:dyDescent="0.2">
      <c r="B50" s="1" t="s">
        <v>793</v>
      </c>
      <c r="D50" s="11">
        <f>+'NOTA 5  GPA'!C10+'NOTA 5  GPA'!C11+'NOTA 5  GPA'!C12</f>
        <v>952096.69750000047</v>
      </c>
      <c r="E50" s="11">
        <v>1211580.4116666671</v>
      </c>
      <c r="F50" s="11">
        <f>D50-E50</f>
        <v>-259483.71416666661</v>
      </c>
    </row>
    <row r="51" spans="2:11" x14ac:dyDescent="0.2">
      <c r="C51" s="169" t="s">
        <v>935</v>
      </c>
      <c r="D51" s="11"/>
      <c r="E51" s="11"/>
      <c r="F51" s="11"/>
    </row>
    <row r="52" spans="2:11" ht="15.75" x14ac:dyDescent="0.25">
      <c r="B52" s="10" t="s">
        <v>115</v>
      </c>
      <c r="C52" s="14" t="s">
        <v>9</v>
      </c>
      <c r="D52" s="170">
        <f>SUM(D49:D50)</f>
        <v>1767772.1375000004</v>
      </c>
      <c r="E52" s="170">
        <f>SUM(E49:E50)</f>
        <v>1211580.4116666671</v>
      </c>
      <c r="F52" s="170">
        <f>SUM(F49:F50)</f>
        <v>556191.72583333333</v>
      </c>
    </row>
    <row r="53" spans="2:11" x14ac:dyDescent="0.2">
      <c r="C53" s="14" t="s">
        <v>9</v>
      </c>
    </row>
    <row r="54" spans="2:11" x14ac:dyDescent="0.2">
      <c r="C54" s="14" t="s">
        <v>9</v>
      </c>
    </row>
    <row r="55" spans="2:11" ht="15.75" x14ac:dyDescent="0.25">
      <c r="B55" s="10" t="s">
        <v>268</v>
      </c>
      <c r="C55" s="9">
        <v>6</v>
      </c>
    </row>
    <row r="56" spans="2:11" ht="15.75" x14ac:dyDescent="0.25">
      <c r="B56" s="1" t="s">
        <v>814</v>
      </c>
      <c r="C56" s="9"/>
      <c r="D56" s="2">
        <f>345928100+349421600+70000000+81156800+40000000</f>
        <v>886506500</v>
      </c>
      <c r="E56" s="2">
        <v>846506500</v>
      </c>
      <c r="F56" s="2">
        <f>+D56-E56</f>
        <v>40000000</v>
      </c>
    </row>
    <row r="57" spans="2:11" ht="15.75" x14ac:dyDescent="0.25">
      <c r="B57" s="1" t="s">
        <v>271</v>
      </c>
      <c r="C57" s="375"/>
      <c r="D57" s="2">
        <f>+-309771035.29+-49893711.42</f>
        <v>-359664746.71000004</v>
      </c>
      <c r="E57" s="2">
        <v>-359664746.71000004</v>
      </c>
      <c r="F57" s="2">
        <f t="shared" ref="F57:F58" si="2">+D57-E57</f>
        <v>0</v>
      </c>
    </row>
    <row r="58" spans="2:11" ht="15.75" x14ac:dyDescent="0.25">
      <c r="B58" s="1" t="s">
        <v>272</v>
      </c>
      <c r="C58" s="375"/>
      <c r="D58" s="3">
        <v>34767485</v>
      </c>
      <c r="E58" s="3">
        <v>34767485</v>
      </c>
      <c r="F58" s="3">
        <f t="shared" si="2"/>
        <v>0</v>
      </c>
    </row>
    <row r="59" spans="2:11" ht="15.75" x14ac:dyDescent="0.25">
      <c r="B59" s="171" t="s">
        <v>815</v>
      </c>
      <c r="C59" s="9"/>
      <c r="D59" s="17">
        <f>SUM(D56:D58)</f>
        <v>561609238.28999996</v>
      </c>
      <c r="E59" s="17">
        <f>SUM(E56:E58)</f>
        <v>521609238.28999996</v>
      </c>
      <c r="F59" s="17">
        <f>SUM(F56:F58)</f>
        <v>40000000</v>
      </c>
    </row>
    <row r="60" spans="2:11" ht="15.75" x14ac:dyDescent="0.25">
      <c r="B60" s="171"/>
      <c r="C60" s="9"/>
      <c r="D60" s="17"/>
      <c r="E60" s="17"/>
      <c r="F60" s="17"/>
    </row>
    <row r="61" spans="2:11" ht="15.75" x14ac:dyDescent="0.25">
      <c r="C61" s="9"/>
    </row>
    <row r="62" spans="2:11" x14ac:dyDescent="0.2">
      <c r="B62" s="1" t="s">
        <v>270</v>
      </c>
      <c r="C62" s="14" t="s">
        <v>9</v>
      </c>
      <c r="D62" s="2">
        <v>2816310100</v>
      </c>
      <c r="E62" s="2">
        <v>2816310100</v>
      </c>
      <c r="F62" s="2">
        <f>+D62-E62</f>
        <v>0</v>
      </c>
      <c r="I62" s="14"/>
      <c r="J62" s="2"/>
      <c r="K62" s="2"/>
    </row>
    <row r="63" spans="2:11" x14ac:dyDescent="0.2">
      <c r="B63" s="1" t="s">
        <v>271</v>
      </c>
      <c r="D63" s="2">
        <v>1090699050.1900001</v>
      </c>
      <c r="E63" s="2">
        <v>1090699050.1900001</v>
      </c>
      <c r="F63" s="2">
        <f>+D63-E63</f>
        <v>0</v>
      </c>
      <c r="I63" s="14"/>
      <c r="J63" s="2"/>
      <c r="K63" s="2"/>
    </row>
    <row r="64" spans="2:11" x14ac:dyDescent="0.2">
      <c r="B64" s="1" t="s">
        <v>272</v>
      </c>
      <c r="C64" s="172"/>
      <c r="D64" s="3">
        <v>281631010.64999998</v>
      </c>
      <c r="E64" s="3">
        <v>281631010.64999998</v>
      </c>
      <c r="F64" s="3">
        <f>+D64-E64</f>
        <v>0</v>
      </c>
      <c r="I64" s="14"/>
      <c r="J64" s="2"/>
      <c r="K64" s="2"/>
    </row>
    <row r="65" spans="2:11" ht="15.75" x14ac:dyDescent="0.25">
      <c r="B65" s="171" t="s">
        <v>269</v>
      </c>
      <c r="D65" s="17">
        <f>SUM(D62:D64)</f>
        <v>4188640160.8400002</v>
      </c>
      <c r="E65" s="17">
        <f>SUM(E62:E64)</f>
        <v>4188640160.8400002</v>
      </c>
      <c r="F65" s="17">
        <f>SUM(F62:F64)</f>
        <v>0</v>
      </c>
      <c r="I65" s="14"/>
      <c r="J65" s="2"/>
      <c r="K65" s="2"/>
    </row>
    <row r="66" spans="2:11" x14ac:dyDescent="0.2">
      <c r="I66" s="14"/>
      <c r="J66" s="2"/>
      <c r="K66" s="2"/>
    </row>
    <row r="67" spans="2:11" x14ac:dyDescent="0.2">
      <c r="I67" s="14"/>
      <c r="J67" s="2"/>
      <c r="K67" s="2"/>
    </row>
    <row r="68" spans="2:11" x14ac:dyDescent="0.2">
      <c r="B68" s="1" t="s">
        <v>242</v>
      </c>
      <c r="D68" s="2">
        <v>251919000</v>
      </c>
      <c r="E68" s="2">
        <v>251919000</v>
      </c>
      <c r="F68" s="2">
        <f>+D68-E68</f>
        <v>0</v>
      </c>
      <c r="I68" s="14"/>
      <c r="J68" s="2"/>
      <c r="K68" s="2"/>
    </row>
    <row r="69" spans="2:11" x14ac:dyDescent="0.2">
      <c r="B69" s="1" t="s">
        <v>271</v>
      </c>
      <c r="D69" s="2">
        <v>1553804400.1400001</v>
      </c>
      <c r="E69" s="2">
        <v>1553804400.1400001</v>
      </c>
      <c r="F69" s="2">
        <f>+D69-E69</f>
        <v>0</v>
      </c>
      <c r="I69" s="14"/>
      <c r="J69" s="2"/>
      <c r="K69" s="2"/>
    </row>
    <row r="70" spans="2:11" x14ac:dyDescent="0.2">
      <c r="B70" s="1" t="s">
        <v>272</v>
      </c>
      <c r="C70" s="172"/>
      <c r="D70" s="3">
        <v>25191900</v>
      </c>
      <c r="E70" s="3">
        <v>25191900</v>
      </c>
      <c r="F70" s="3">
        <f>+D70-E70</f>
        <v>0</v>
      </c>
      <c r="I70" s="14"/>
      <c r="J70" s="2"/>
      <c r="K70" s="2"/>
    </row>
    <row r="71" spans="2:11" ht="15.75" x14ac:dyDescent="0.25">
      <c r="B71" s="171" t="s">
        <v>273</v>
      </c>
      <c r="D71" s="17">
        <f>SUM(D68:D70)</f>
        <v>1830915300.1400001</v>
      </c>
      <c r="E71" s="17">
        <f>SUM(E68:E70)</f>
        <v>1830915300.1400001</v>
      </c>
      <c r="F71" s="17">
        <f>SUM(F68:F70)</f>
        <v>0</v>
      </c>
      <c r="G71" s="17"/>
      <c r="I71" s="14"/>
      <c r="J71" s="2"/>
      <c r="K71" s="2"/>
    </row>
    <row r="72" spans="2:11" x14ac:dyDescent="0.2">
      <c r="I72" s="14"/>
      <c r="J72" s="2"/>
      <c r="K72" s="2"/>
    </row>
    <row r="73" spans="2:11" x14ac:dyDescent="0.2">
      <c r="I73" s="14"/>
      <c r="J73" s="2"/>
      <c r="K73" s="2"/>
    </row>
    <row r="74" spans="2:11" x14ac:dyDescent="0.2">
      <c r="B74" s="1" t="s">
        <v>274</v>
      </c>
      <c r="D74" s="2">
        <v>2297250000</v>
      </c>
      <c r="E74" s="2">
        <v>2297250000</v>
      </c>
      <c r="F74" s="2">
        <f t="shared" ref="F74:F85" si="3">D74-E74</f>
        <v>0</v>
      </c>
      <c r="I74" s="14"/>
      <c r="J74" s="2"/>
      <c r="K74" s="2"/>
    </row>
    <row r="75" spans="2:11" x14ac:dyDescent="0.2">
      <c r="B75" s="1" t="s">
        <v>271</v>
      </c>
      <c r="D75" s="2">
        <v>5745382944.3500004</v>
      </c>
      <c r="E75" s="2">
        <v>5745382944.3500004</v>
      </c>
      <c r="F75" s="2">
        <f t="shared" si="3"/>
        <v>0</v>
      </c>
      <c r="I75" s="14"/>
      <c r="J75" s="2"/>
      <c r="K75" s="2"/>
    </row>
    <row r="76" spans="2:11" x14ac:dyDescent="0.2">
      <c r="B76" s="1" t="s">
        <v>272</v>
      </c>
      <c r="C76" s="172"/>
      <c r="D76" s="3">
        <v>229725000.47999999</v>
      </c>
      <c r="E76" s="3">
        <v>229725000.47999999</v>
      </c>
      <c r="F76" s="3">
        <f t="shared" si="3"/>
        <v>0</v>
      </c>
      <c r="I76" s="14"/>
      <c r="J76" s="2"/>
      <c r="K76" s="2"/>
    </row>
    <row r="77" spans="2:11" ht="15.75" x14ac:dyDescent="0.25">
      <c r="B77" s="171" t="s">
        <v>275</v>
      </c>
      <c r="D77" s="17">
        <f>SUM(D74:D76)</f>
        <v>8272357944.8299999</v>
      </c>
      <c r="E77" s="17">
        <f>SUM(E74:E76)</f>
        <v>8272357944.8299999</v>
      </c>
      <c r="F77" s="17">
        <f>SUM(F74:F76)</f>
        <v>0</v>
      </c>
      <c r="I77" s="14"/>
      <c r="J77" s="2"/>
      <c r="K77" s="2"/>
    </row>
    <row r="78" spans="2:11" x14ac:dyDescent="0.2">
      <c r="I78" s="14"/>
      <c r="J78" s="2"/>
      <c r="K78" s="2"/>
    </row>
    <row r="79" spans="2:11" x14ac:dyDescent="0.2">
      <c r="B79" s="1" t="s">
        <v>276</v>
      </c>
      <c r="D79" s="73">
        <v>3240339500</v>
      </c>
      <c r="E79" s="2">
        <v>3240339500</v>
      </c>
      <c r="F79" s="2">
        <f t="shared" si="3"/>
        <v>0</v>
      </c>
      <c r="I79" s="14"/>
      <c r="J79" s="2"/>
      <c r="K79" s="2"/>
    </row>
    <row r="80" spans="2:11" x14ac:dyDescent="0.2">
      <c r="B80" s="1" t="s">
        <v>271</v>
      </c>
      <c r="D80" s="3">
        <v>-3240339500</v>
      </c>
      <c r="E80" s="3">
        <v>-3240339500</v>
      </c>
      <c r="F80" s="3">
        <f t="shared" si="3"/>
        <v>0</v>
      </c>
      <c r="I80" s="14"/>
      <c r="J80" s="2"/>
      <c r="K80" s="2"/>
    </row>
    <row r="81" spans="2:11" ht="15.75" x14ac:dyDescent="0.25">
      <c r="B81" s="171" t="s">
        <v>277</v>
      </c>
      <c r="C81" s="9"/>
      <c r="D81" s="17">
        <f>SUM(D79:D80)</f>
        <v>0</v>
      </c>
      <c r="E81" s="17">
        <f>SUM(E79:E80)</f>
        <v>0</v>
      </c>
      <c r="F81" s="17">
        <f>SUM(F79:F80)</f>
        <v>0</v>
      </c>
      <c r="I81" s="14"/>
      <c r="J81" s="2"/>
      <c r="K81" s="2"/>
    </row>
    <row r="82" spans="2:11" x14ac:dyDescent="0.2">
      <c r="I82" s="14"/>
      <c r="J82" s="2"/>
      <c r="K82" s="2"/>
    </row>
    <row r="83" spans="2:11" x14ac:dyDescent="0.2">
      <c r="I83" s="14"/>
      <c r="J83" s="2"/>
      <c r="K83" s="2"/>
    </row>
    <row r="84" spans="2:11" x14ac:dyDescent="0.2">
      <c r="B84" s="1" t="s">
        <v>243</v>
      </c>
      <c r="D84" s="73">
        <v>3475097800</v>
      </c>
      <c r="E84" s="2">
        <v>3475097800</v>
      </c>
      <c r="F84" s="2">
        <f t="shared" si="3"/>
        <v>0</v>
      </c>
      <c r="I84" s="14"/>
      <c r="J84" s="2"/>
      <c r="K84" s="2"/>
    </row>
    <row r="85" spans="2:11" x14ac:dyDescent="0.2">
      <c r="B85" s="1" t="s">
        <v>271</v>
      </c>
      <c r="D85" s="3">
        <v>-3475097800</v>
      </c>
      <c r="E85" s="3">
        <v>-3475097800</v>
      </c>
      <c r="F85" s="3">
        <f t="shared" si="3"/>
        <v>0</v>
      </c>
      <c r="I85" s="14"/>
      <c r="J85" s="2"/>
      <c r="K85" s="2"/>
    </row>
    <row r="86" spans="2:11" ht="15.75" x14ac:dyDescent="0.25">
      <c r="B86" s="171" t="s">
        <v>278</v>
      </c>
      <c r="D86" s="17">
        <f>SUM(D84:D85)</f>
        <v>0</v>
      </c>
      <c r="E86" s="17">
        <f>SUM(E84:E85)</f>
        <v>0</v>
      </c>
      <c r="F86" s="17">
        <f>SUM(F84:F85)</f>
        <v>0</v>
      </c>
      <c r="I86" s="14"/>
      <c r="J86" s="2"/>
      <c r="K86" s="2"/>
    </row>
    <row r="87" spans="2:11" x14ac:dyDescent="0.2">
      <c r="I87" s="14"/>
      <c r="J87" s="2"/>
      <c r="K87" s="2"/>
    </row>
    <row r="88" spans="2:11" x14ac:dyDescent="0.2">
      <c r="I88" s="14"/>
      <c r="J88" s="2"/>
      <c r="K88" s="2"/>
    </row>
    <row r="89" spans="2:11" x14ac:dyDescent="0.2">
      <c r="B89" s="1" t="s">
        <v>279</v>
      </c>
      <c r="D89" s="2">
        <v>3462816000</v>
      </c>
      <c r="E89" s="2">
        <v>3462816000</v>
      </c>
      <c r="F89" s="2">
        <f>D89-E89</f>
        <v>0</v>
      </c>
      <c r="I89" s="14"/>
      <c r="J89" s="2"/>
      <c r="K89" s="2"/>
    </row>
    <row r="90" spans="2:11" x14ac:dyDescent="0.2">
      <c r="B90" s="1" t="s">
        <v>271</v>
      </c>
      <c r="D90" s="3">
        <v>-3462816000</v>
      </c>
      <c r="E90" s="3">
        <v>-3462816000</v>
      </c>
      <c r="F90" s="3">
        <f>D90-E90</f>
        <v>0</v>
      </c>
      <c r="I90" s="14"/>
      <c r="J90" s="2"/>
      <c r="K90" s="2"/>
    </row>
    <row r="91" spans="2:11" ht="15.75" x14ac:dyDescent="0.25">
      <c r="B91" s="171" t="s">
        <v>280</v>
      </c>
      <c r="D91" s="17">
        <f>SUM(D89:D90)</f>
        <v>0</v>
      </c>
      <c r="E91" s="17">
        <f>SUM(E89:E90)</f>
        <v>0</v>
      </c>
      <c r="F91" s="17">
        <f>SUM(F89:F90)</f>
        <v>0</v>
      </c>
      <c r="I91" s="172"/>
      <c r="J91" s="2"/>
      <c r="K91" s="2"/>
    </row>
    <row r="92" spans="2:11" ht="15.75" x14ac:dyDescent="0.25">
      <c r="B92" s="171"/>
      <c r="D92" s="17"/>
      <c r="E92" s="17"/>
      <c r="F92" s="17"/>
      <c r="H92" s="6"/>
      <c r="I92" s="20"/>
      <c r="J92" s="2"/>
      <c r="K92" s="2"/>
    </row>
    <row r="93" spans="2:11" x14ac:dyDescent="0.2">
      <c r="C93" s="169" t="s">
        <v>935</v>
      </c>
      <c r="H93" s="6"/>
      <c r="I93" s="172"/>
      <c r="J93" s="2"/>
      <c r="K93" s="2"/>
    </row>
    <row r="94" spans="2:11" ht="15.75" x14ac:dyDescent="0.25">
      <c r="B94" s="10" t="s">
        <v>129</v>
      </c>
      <c r="C94" s="14" t="s">
        <v>9</v>
      </c>
      <c r="D94" s="17">
        <f>+D59+D65+D71+D77+D81+D86+D91</f>
        <v>14853522644.1</v>
      </c>
      <c r="E94" s="17">
        <f>+E59+E65+E71+E77+E81+E86+E91</f>
        <v>14813522644.1</v>
      </c>
      <c r="F94" s="17">
        <f>+F59+F65+F71+F77+F81+F86+F91</f>
        <v>40000000</v>
      </c>
      <c r="H94" s="10"/>
      <c r="I94" s="14"/>
      <c r="J94" s="17"/>
      <c r="K94" s="17"/>
    </row>
    <row r="95" spans="2:11" ht="15.75" x14ac:dyDescent="0.25">
      <c r="B95" s="10"/>
      <c r="D95" s="17"/>
      <c r="E95" s="17"/>
      <c r="F95" s="17"/>
      <c r="H95" s="10"/>
      <c r="I95" s="14"/>
      <c r="J95" s="17"/>
      <c r="K95" s="17"/>
    </row>
    <row r="96" spans="2:11" ht="15.75" x14ac:dyDescent="0.25">
      <c r="B96" s="20"/>
      <c r="C96" s="172"/>
      <c r="D96" s="17"/>
      <c r="E96" s="17"/>
      <c r="F96" s="17"/>
      <c r="H96" s="10"/>
      <c r="I96" s="14"/>
      <c r="J96" s="17"/>
      <c r="K96" s="17"/>
    </row>
    <row r="97" spans="2:11" ht="15.75" x14ac:dyDescent="0.25">
      <c r="B97" s="10" t="s">
        <v>267</v>
      </c>
      <c r="C97" s="9">
        <v>7</v>
      </c>
      <c r="H97" s="10"/>
      <c r="I97" s="2"/>
      <c r="J97" s="2"/>
      <c r="K97" s="2"/>
    </row>
    <row r="98" spans="2:11" ht="15.75" customHeight="1" x14ac:dyDescent="0.25">
      <c r="B98" s="1" t="s">
        <v>260</v>
      </c>
      <c r="D98" s="11">
        <f>+'NOTA 7-ACTIVOS FIJOS'!C85</f>
        <v>53297627.489999987</v>
      </c>
      <c r="E98" s="11">
        <v>53239794.50999999</v>
      </c>
      <c r="F98" s="11">
        <f>D98-E98</f>
        <v>57832.979999996722</v>
      </c>
      <c r="H98" s="10"/>
      <c r="I98" s="11"/>
      <c r="J98" s="11"/>
      <c r="K98" s="11"/>
    </row>
    <row r="99" spans="2:11" ht="15.75" customHeight="1" x14ac:dyDescent="0.25">
      <c r="B99" s="1" t="s">
        <v>281</v>
      </c>
      <c r="D99" s="11">
        <f>+-'NOTA 7-ACTIVOS FIJOS'!C92</f>
        <v>-32441480.660000004</v>
      </c>
      <c r="E99" s="11">
        <v>-31896226.520000003</v>
      </c>
      <c r="F99" s="11">
        <f t="shared" ref="F99:F107" si="4">D99-E99</f>
        <v>-545254.1400000006</v>
      </c>
      <c r="H99" s="10"/>
      <c r="I99" s="11"/>
      <c r="J99" s="11"/>
      <c r="K99" s="11"/>
    </row>
    <row r="100" spans="2:11" ht="15.75" customHeight="1" x14ac:dyDescent="0.25">
      <c r="B100" s="1" t="s">
        <v>465</v>
      </c>
      <c r="C100" s="172"/>
      <c r="D100" s="11">
        <f>+'NOTA 7-ACTIVOS FIJOS'!D85</f>
        <v>25682855.010000002</v>
      </c>
      <c r="E100" s="11">
        <v>25682855.010000002</v>
      </c>
      <c r="F100" s="11">
        <f t="shared" si="4"/>
        <v>0</v>
      </c>
      <c r="H100" s="10"/>
      <c r="I100" s="11"/>
      <c r="J100" s="11"/>
      <c r="K100" s="11"/>
    </row>
    <row r="101" spans="2:11" ht="15.75" customHeight="1" x14ac:dyDescent="0.25">
      <c r="B101" s="1" t="s">
        <v>281</v>
      </c>
      <c r="C101" s="172"/>
      <c r="D101" s="11">
        <f>+-'NOTA 7-ACTIVOS FIJOS'!D92</f>
        <v>-19948585.650000002</v>
      </c>
      <c r="E101" s="11">
        <v>-19846187.990000002</v>
      </c>
      <c r="F101" s="11">
        <f t="shared" si="4"/>
        <v>-102397.66000000015</v>
      </c>
      <c r="H101" s="10"/>
      <c r="I101" s="11"/>
      <c r="J101" s="11"/>
      <c r="K101" s="11"/>
    </row>
    <row r="102" spans="2:11" ht="15.75" customHeight="1" x14ac:dyDescent="0.25">
      <c r="B102" s="1" t="s">
        <v>116</v>
      </c>
      <c r="C102" s="377"/>
      <c r="D102" s="11">
        <f>+'NOTA 7-ACTIVOS FIJOS'!E85</f>
        <v>2317253.5</v>
      </c>
      <c r="E102" s="11">
        <v>2317253.5</v>
      </c>
      <c r="F102" s="11">
        <f t="shared" si="4"/>
        <v>0</v>
      </c>
      <c r="H102" s="10"/>
      <c r="I102" s="11"/>
      <c r="J102" s="11"/>
      <c r="K102" s="11"/>
    </row>
    <row r="103" spans="2:11" ht="15.75" customHeight="1" x14ac:dyDescent="0.25">
      <c r="B103" s="1" t="s">
        <v>281</v>
      </c>
      <c r="C103" s="172"/>
      <c r="D103" s="11">
        <f>+-'NOTA 7-ACTIVOS FIJOS'!E92</f>
        <v>-1778406.6499999983</v>
      </c>
      <c r="E103" s="11">
        <v>-1759735.8699999982</v>
      </c>
      <c r="F103" s="11">
        <f t="shared" si="4"/>
        <v>-18670.780000000028</v>
      </c>
      <c r="H103" s="376"/>
      <c r="I103" s="11"/>
      <c r="J103" s="11"/>
      <c r="K103" s="11"/>
    </row>
    <row r="104" spans="2:11" ht="15.75" customHeight="1" x14ac:dyDescent="0.25">
      <c r="B104" s="1" t="s">
        <v>412</v>
      </c>
      <c r="C104" s="172"/>
      <c r="D104" s="11">
        <f>+'NOTA 7-ACTIVOS FIJOS'!F85</f>
        <v>1003826</v>
      </c>
      <c r="E104" s="11">
        <v>1003826</v>
      </c>
      <c r="F104" s="11">
        <f t="shared" si="4"/>
        <v>0</v>
      </c>
      <c r="H104" s="376"/>
      <c r="I104" s="11"/>
      <c r="J104" s="11"/>
      <c r="K104" s="11"/>
    </row>
    <row r="105" spans="2:11" ht="15.75" customHeight="1" x14ac:dyDescent="0.25">
      <c r="B105" s="1" t="s">
        <v>281</v>
      </c>
      <c r="C105" s="172"/>
      <c r="D105" s="11">
        <f>+-'NOTA 7-ACTIVOS FIJOS'!F92</f>
        <v>-267687.20000000007</v>
      </c>
      <c r="E105" s="11">
        <v>-250956.75000000009</v>
      </c>
      <c r="F105" s="11">
        <f t="shared" si="4"/>
        <v>-16730.449999999983</v>
      </c>
      <c r="H105" s="376"/>
      <c r="I105" s="11"/>
      <c r="J105" s="11"/>
      <c r="K105" s="11"/>
    </row>
    <row r="106" spans="2:11" ht="15.75" customHeight="1" x14ac:dyDescent="0.25">
      <c r="B106" s="1" t="s">
        <v>117</v>
      </c>
      <c r="C106" s="14" t="s">
        <v>9</v>
      </c>
      <c r="D106" s="11">
        <f>+'NOTA 7-ACTIVOS FIJOS'!I85</f>
        <v>5881555.6499999994</v>
      </c>
      <c r="E106" s="11">
        <v>5881555.6499999994</v>
      </c>
      <c r="F106" s="11">
        <f t="shared" si="4"/>
        <v>0</v>
      </c>
      <c r="H106" s="10"/>
      <c r="I106" s="11"/>
      <c r="J106" s="11"/>
      <c r="K106" s="11"/>
    </row>
    <row r="107" spans="2:11" ht="15.75" customHeight="1" x14ac:dyDescent="0.25">
      <c r="B107" s="1" t="s">
        <v>282</v>
      </c>
      <c r="C107" s="172"/>
      <c r="D107" s="11">
        <f>+-'NOTA 7-ACTIVOS FIJOS'!I92</f>
        <v>-5881555.6499999994</v>
      </c>
      <c r="E107" s="11">
        <v>-5881555.6499999994</v>
      </c>
      <c r="F107" s="11">
        <f t="shared" si="4"/>
        <v>0</v>
      </c>
      <c r="H107" s="10"/>
      <c r="I107" s="11"/>
      <c r="J107" s="11"/>
      <c r="K107" s="11"/>
    </row>
    <row r="108" spans="2:11" ht="15.75" x14ac:dyDescent="0.25">
      <c r="C108" s="169" t="s">
        <v>935</v>
      </c>
      <c r="H108" s="10"/>
      <c r="I108" s="2"/>
      <c r="J108" s="2"/>
      <c r="K108" s="2"/>
    </row>
    <row r="109" spans="2:11" ht="15.75" x14ac:dyDescent="0.25">
      <c r="B109" s="10" t="s">
        <v>261</v>
      </c>
      <c r="C109" s="14" t="s">
        <v>9</v>
      </c>
      <c r="D109" s="17">
        <f>SUM(D98:D107)</f>
        <v>27865401.839999989</v>
      </c>
      <c r="E109" s="17">
        <f>SUM(E98:E107)</f>
        <v>28490621.889999986</v>
      </c>
      <c r="F109" s="17">
        <f>SUM(F98:F107)</f>
        <v>-625220.050000004</v>
      </c>
      <c r="H109" s="10"/>
      <c r="I109" s="17"/>
      <c r="J109" s="17"/>
      <c r="K109" s="17"/>
    </row>
    <row r="110" spans="2:11" ht="15.75" x14ac:dyDescent="0.25">
      <c r="B110" s="6"/>
      <c r="C110" s="14" t="s">
        <v>9</v>
      </c>
      <c r="H110" s="376"/>
      <c r="I110" s="14"/>
      <c r="J110" s="17"/>
      <c r="K110" s="17"/>
    </row>
    <row r="111" spans="2:11" ht="15.75" x14ac:dyDescent="0.25">
      <c r="B111" s="6"/>
      <c r="C111" s="14" t="s">
        <v>9</v>
      </c>
      <c r="H111" s="376"/>
      <c r="I111" s="14"/>
      <c r="J111" s="17"/>
      <c r="K111" s="17"/>
    </row>
    <row r="112" spans="2:11" ht="15.75" x14ac:dyDescent="0.25">
      <c r="B112" s="10" t="s">
        <v>118</v>
      </c>
      <c r="C112" s="9">
        <v>8</v>
      </c>
      <c r="H112" s="10"/>
      <c r="I112" s="14"/>
      <c r="J112" s="17"/>
      <c r="K112" s="17"/>
    </row>
    <row r="113" spans="2:11" ht="15.75" x14ac:dyDescent="0.25">
      <c r="B113" s="1" t="s">
        <v>119</v>
      </c>
      <c r="D113" s="2">
        <f>+'NOTA 8-CEDULAS CxP '!B9</f>
        <v>1111783.58</v>
      </c>
      <c r="E113" s="2">
        <v>668358.29</v>
      </c>
      <c r="F113" s="2">
        <f t="shared" ref="F113:F120" si="5">D113-E113</f>
        <v>443425.29000000004</v>
      </c>
      <c r="G113" s="6"/>
      <c r="H113" s="10"/>
      <c r="I113" s="14"/>
      <c r="J113" s="17"/>
      <c r="K113" s="17"/>
    </row>
    <row r="114" spans="2:11" ht="15.75" x14ac:dyDescent="0.25">
      <c r="B114" s="1" t="s">
        <v>183</v>
      </c>
      <c r="D114" s="73">
        <f>+'NOTA 8-CEDULAS CxP '!B10</f>
        <v>335472.53000000003</v>
      </c>
      <c r="E114" s="2">
        <v>326939.90000000002</v>
      </c>
      <c r="F114" s="2">
        <f t="shared" si="5"/>
        <v>8532.6300000000047</v>
      </c>
      <c r="H114" s="10"/>
      <c r="I114" s="14"/>
      <c r="J114" s="17"/>
      <c r="K114" s="17"/>
    </row>
    <row r="115" spans="2:11" ht="15.75" x14ac:dyDescent="0.25">
      <c r="B115" s="1" t="s">
        <v>65</v>
      </c>
      <c r="C115" s="14" t="s">
        <v>9</v>
      </c>
      <c r="D115" s="73">
        <f>+'NOTA 8-CEDULAS CxP '!B11</f>
        <v>113356.92</v>
      </c>
      <c r="E115" s="93">
        <v>65198.06</v>
      </c>
      <c r="F115" s="2">
        <f t="shared" si="5"/>
        <v>48158.86</v>
      </c>
      <c r="H115" s="10"/>
      <c r="I115" s="14"/>
      <c r="J115" s="17"/>
      <c r="K115" s="17"/>
    </row>
    <row r="116" spans="2:11" ht="15.75" x14ac:dyDescent="0.25">
      <c r="B116" s="1" t="s">
        <v>941</v>
      </c>
      <c r="D116" s="73">
        <f>+'NOTA 8-CEDULAS CxP '!B12</f>
        <v>44553.22</v>
      </c>
      <c r="E116" s="2">
        <v>530950.81000000006</v>
      </c>
      <c r="F116" s="2">
        <f t="shared" si="5"/>
        <v>-486397.59000000008</v>
      </c>
      <c r="G116" s="6"/>
      <c r="H116" s="10"/>
      <c r="I116" s="14"/>
      <c r="J116" s="17"/>
      <c r="K116" s="17"/>
    </row>
    <row r="117" spans="2:11" ht="15.75" hidden="1" x14ac:dyDescent="0.25">
      <c r="B117" s="1" t="s">
        <v>321</v>
      </c>
      <c r="D117" s="2">
        <f>+'NOTA 8-CEDULAS CxP '!B19</f>
        <v>0</v>
      </c>
      <c r="E117" s="2">
        <v>0</v>
      </c>
      <c r="F117" s="2">
        <f t="shared" si="5"/>
        <v>0</v>
      </c>
      <c r="G117" s="6"/>
      <c r="H117" s="10"/>
      <c r="I117" s="14"/>
      <c r="J117" s="17"/>
      <c r="K117" s="17"/>
    </row>
    <row r="118" spans="2:11" ht="15.75" x14ac:dyDescent="0.25">
      <c r="B118" s="1" t="s">
        <v>914</v>
      </c>
      <c r="D118" s="2">
        <f>+'NOTA 8-CEDULAS CxP '!B13</f>
        <v>8151437.5999999996</v>
      </c>
      <c r="E118" s="2">
        <v>0</v>
      </c>
      <c r="F118" s="2">
        <f t="shared" si="5"/>
        <v>8151437.5999999996</v>
      </c>
      <c r="G118" s="6"/>
      <c r="H118" s="10"/>
      <c r="I118" s="14"/>
      <c r="J118" s="17"/>
      <c r="K118" s="17"/>
    </row>
    <row r="119" spans="2:11" ht="15.75" x14ac:dyDescent="0.25">
      <c r="B119" s="1" t="s">
        <v>256</v>
      </c>
      <c r="D119" s="2">
        <f>+'NOTA 8-CEDULAS CxP '!B14</f>
        <v>692040</v>
      </c>
      <c r="E119" s="2">
        <v>699640</v>
      </c>
      <c r="F119" s="2">
        <f t="shared" si="5"/>
        <v>-7600</v>
      </c>
      <c r="H119" s="10"/>
      <c r="I119" s="14"/>
      <c r="J119" s="17"/>
      <c r="K119" s="17"/>
    </row>
    <row r="120" spans="2:11" ht="15.75" x14ac:dyDescent="0.25">
      <c r="B120" s="1" t="s">
        <v>407</v>
      </c>
      <c r="D120" s="73">
        <f>+'NOTA 8-CEDULAS CxP '!B15</f>
        <v>769625.34</v>
      </c>
      <c r="E120" s="93">
        <v>908525.34</v>
      </c>
      <c r="F120" s="2">
        <f t="shared" si="5"/>
        <v>-138900</v>
      </c>
      <c r="H120" s="10"/>
      <c r="I120" s="14"/>
      <c r="J120" s="17"/>
      <c r="K120" s="17"/>
    </row>
    <row r="121" spans="2:11" ht="15.75" x14ac:dyDescent="0.25">
      <c r="C121" s="169" t="s">
        <v>935</v>
      </c>
      <c r="D121" s="93"/>
      <c r="E121" s="93"/>
      <c r="H121" s="10"/>
      <c r="I121" s="14"/>
      <c r="J121" s="17"/>
      <c r="K121" s="17"/>
    </row>
    <row r="122" spans="2:11" ht="15.75" x14ac:dyDescent="0.25">
      <c r="B122" s="10" t="s">
        <v>121</v>
      </c>
      <c r="C122" s="14" t="s">
        <v>9</v>
      </c>
      <c r="D122" s="17">
        <f>SUM(D113:D120)</f>
        <v>11218269.189999999</v>
      </c>
      <c r="E122" s="17">
        <f>SUM(E113:E120)</f>
        <v>3199612.4</v>
      </c>
      <c r="F122" s="17">
        <f>SUM(F113:F120)</f>
        <v>8018656.7899999991</v>
      </c>
      <c r="H122" s="10"/>
      <c r="I122" s="14"/>
      <c r="J122" s="17"/>
      <c r="K122" s="17"/>
    </row>
    <row r="123" spans="2:11" ht="15.75" x14ac:dyDescent="0.25">
      <c r="B123" s="145"/>
      <c r="C123" s="250"/>
      <c r="H123" s="10"/>
      <c r="I123" s="14"/>
      <c r="J123" s="17"/>
      <c r="K123" s="17"/>
    </row>
    <row r="124" spans="2:11" ht="15.75" x14ac:dyDescent="0.25">
      <c r="C124" s="14" t="s">
        <v>9</v>
      </c>
      <c r="H124" s="10"/>
      <c r="I124" s="14"/>
      <c r="J124" s="17"/>
      <c r="K124" s="17"/>
    </row>
    <row r="125" spans="2:11" ht="16.5" customHeight="1" x14ac:dyDescent="0.25">
      <c r="B125" s="10" t="s">
        <v>122</v>
      </c>
      <c r="C125" s="9">
        <v>9</v>
      </c>
      <c r="H125" s="10"/>
      <c r="I125" s="14"/>
      <c r="J125" s="17"/>
      <c r="K125" s="17"/>
    </row>
    <row r="126" spans="2:11" ht="15.75" x14ac:dyDescent="0.25">
      <c r="B126" s="1" t="s">
        <v>942</v>
      </c>
      <c r="D126" s="73">
        <f>+'NOTA 9-CEDULAS RETENCIO X PAGAR'!B10</f>
        <v>485514.96</v>
      </c>
      <c r="E126" s="2">
        <v>622960.16</v>
      </c>
      <c r="F126" s="2">
        <f t="shared" ref="F126:F134" si="6">D126-E126</f>
        <v>-137445.20000000001</v>
      </c>
      <c r="H126" s="10"/>
      <c r="I126" s="14"/>
      <c r="J126" s="17"/>
      <c r="K126" s="17"/>
    </row>
    <row r="127" spans="2:11" ht="15.75" x14ac:dyDescent="0.25">
      <c r="B127" s="1" t="s">
        <v>123</v>
      </c>
      <c r="C127" s="14" t="s">
        <v>9</v>
      </c>
      <c r="D127" s="73">
        <v>0</v>
      </c>
      <c r="E127" s="2">
        <v>20281977.289999999</v>
      </c>
      <c r="F127" s="2">
        <f t="shared" si="6"/>
        <v>-20281977.289999999</v>
      </c>
      <c r="H127" s="10"/>
      <c r="I127" s="14"/>
      <c r="J127" s="17"/>
      <c r="K127" s="17"/>
    </row>
    <row r="128" spans="2:11" ht="15.75" x14ac:dyDescent="0.25">
      <c r="B128" s="1" t="s">
        <v>66</v>
      </c>
      <c r="C128" s="14" t="s">
        <v>9</v>
      </c>
      <c r="D128" s="73">
        <f>+'NOTA 9-CEDULAS RETENCIO X PAGAR'!B13</f>
        <v>4266935.8600000003</v>
      </c>
      <c r="E128" s="2">
        <v>4773905.59</v>
      </c>
      <c r="F128" s="2">
        <f t="shared" si="6"/>
        <v>-506969.72999999952</v>
      </c>
      <c r="H128" s="10"/>
      <c r="I128" s="14"/>
      <c r="J128" s="17"/>
      <c r="K128" s="17"/>
    </row>
    <row r="129" spans="2:11" ht="15.75" x14ac:dyDescent="0.25">
      <c r="B129" s="1" t="s">
        <v>244</v>
      </c>
      <c r="C129" s="14" t="s">
        <v>9</v>
      </c>
      <c r="D129" s="73">
        <v>0</v>
      </c>
      <c r="E129" s="4">
        <v>8172270.21</v>
      </c>
      <c r="F129" s="2">
        <f t="shared" si="6"/>
        <v>-8172270.21</v>
      </c>
      <c r="H129" s="10"/>
      <c r="I129" s="14"/>
      <c r="J129" s="17"/>
      <c r="K129" s="17"/>
    </row>
    <row r="130" spans="2:11" ht="15.75" x14ac:dyDescent="0.25">
      <c r="B130" s="1" t="s">
        <v>816</v>
      </c>
      <c r="D130" s="73">
        <f>+'NOTA 9-CEDULAS RETENCIO X PAGAR'!B15</f>
        <v>589141.02</v>
      </c>
      <c r="E130" s="4">
        <v>480459.1</v>
      </c>
      <c r="F130" s="2">
        <f t="shared" si="6"/>
        <v>108681.92000000004</v>
      </c>
      <c r="H130" s="10"/>
      <c r="I130" s="14"/>
      <c r="J130" s="17"/>
      <c r="K130" s="17"/>
    </row>
    <row r="131" spans="2:11" ht="15.75" x14ac:dyDescent="0.25">
      <c r="B131" s="1" t="s">
        <v>817</v>
      </c>
      <c r="C131" s="14" t="s">
        <v>9</v>
      </c>
      <c r="D131" s="73">
        <f>+'NOTA 9-CEDULAS RETENCIO X PAGAR'!B16</f>
        <v>6695159.8899999997</v>
      </c>
      <c r="E131" s="4">
        <v>1535872.43</v>
      </c>
      <c r="F131" s="2">
        <f t="shared" si="6"/>
        <v>5159287.46</v>
      </c>
      <c r="H131" s="10"/>
      <c r="I131" s="14"/>
      <c r="J131" s="17"/>
      <c r="K131" s="17"/>
    </row>
    <row r="132" spans="2:11" ht="15.75" x14ac:dyDescent="0.25">
      <c r="B132" s="1" t="s">
        <v>245</v>
      </c>
      <c r="D132" s="73">
        <f>+'NOTA 9-CEDULAS RETENCIO X PAGAR'!B17</f>
        <v>542779.12</v>
      </c>
      <c r="E132" s="2">
        <v>302564.59999999998</v>
      </c>
      <c r="F132" s="2">
        <f t="shared" si="6"/>
        <v>240214.52000000002</v>
      </c>
      <c r="H132" s="10"/>
      <c r="I132" s="14"/>
      <c r="J132" s="17"/>
      <c r="K132" s="17"/>
    </row>
    <row r="133" spans="2:11" ht="15.75" x14ac:dyDescent="0.25">
      <c r="B133" s="1" t="s">
        <v>246</v>
      </c>
      <c r="D133" s="73">
        <v>5736.35</v>
      </c>
      <c r="E133" s="2">
        <v>1689.88</v>
      </c>
      <c r="F133" s="2">
        <f t="shared" si="6"/>
        <v>4046.4700000000003</v>
      </c>
      <c r="H133" s="10"/>
      <c r="I133" s="14"/>
      <c r="J133" s="17"/>
      <c r="K133" s="17"/>
    </row>
    <row r="134" spans="2:11" ht="15.75" x14ac:dyDescent="0.25">
      <c r="B134" s="1" t="s">
        <v>247</v>
      </c>
      <c r="D134" s="73">
        <v>57363.47</v>
      </c>
      <c r="E134" s="2">
        <v>16898.759999999998</v>
      </c>
      <c r="F134" s="2">
        <f t="shared" si="6"/>
        <v>40464.710000000006</v>
      </c>
      <c r="H134" s="10"/>
      <c r="I134" s="14"/>
      <c r="J134" s="17"/>
      <c r="K134" s="17"/>
    </row>
    <row r="135" spans="2:11" ht="15.75" x14ac:dyDescent="0.25">
      <c r="C135" s="169" t="s">
        <v>935</v>
      </c>
      <c r="H135" s="10"/>
      <c r="I135" s="14"/>
      <c r="J135" s="17"/>
      <c r="K135" s="17"/>
    </row>
    <row r="136" spans="2:11" s="173" customFormat="1" ht="33" customHeight="1" x14ac:dyDescent="0.25">
      <c r="B136" s="275" t="s">
        <v>124</v>
      </c>
      <c r="C136" s="14" t="s">
        <v>9</v>
      </c>
      <c r="D136" s="17">
        <f>SUM(D126:D134)</f>
        <v>12642630.67</v>
      </c>
      <c r="E136" s="17">
        <f>SUM(E126:E134)</f>
        <v>36188598.020000003</v>
      </c>
      <c r="F136" s="17">
        <f>SUM(F126:F134)</f>
        <v>-23545967.349999998</v>
      </c>
    </row>
    <row r="137" spans="2:11" x14ac:dyDescent="0.2">
      <c r="C137" s="14" t="s">
        <v>9</v>
      </c>
    </row>
    <row r="138" spans="2:11" x14ac:dyDescent="0.2">
      <c r="C138" s="14" t="s">
        <v>9</v>
      </c>
    </row>
    <row r="139" spans="2:11" ht="15.75" x14ac:dyDescent="0.25">
      <c r="B139" s="10" t="s">
        <v>130</v>
      </c>
      <c r="C139" s="9">
        <v>10</v>
      </c>
    </row>
    <row r="140" spans="2:11" x14ac:dyDescent="0.2">
      <c r="B140" s="1" t="s">
        <v>327</v>
      </c>
      <c r="D140" s="2">
        <v>30000000</v>
      </c>
      <c r="E140" s="2">
        <v>90000000</v>
      </c>
      <c r="F140" s="2">
        <f>D140-E140</f>
        <v>-60000000</v>
      </c>
    </row>
    <row r="141" spans="2:11" x14ac:dyDescent="0.2">
      <c r="C141" s="169" t="s">
        <v>935</v>
      </c>
    </row>
    <row r="142" spans="2:11" ht="15.75" x14ac:dyDescent="0.25">
      <c r="B142" s="10" t="s">
        <v>262</v>
      </c>
      <c r="C142" s="14" t="s">
        <v>9</v>
      </c>
      <c r="D142" s="17">
        <f>SUM(D140:D140)</f>
        <v>30000000</v>
      </c>
      <c r="E142" s="17">
        <f>SUM(E140:E140)</f>
        <v>90000000</v>
      </c>
      <c r="F142" s="17">
        <f>SUM(F140:F140)</f>
        <v>-60000000</v>
      </c>
    </row>
    <row r="143" spans="2:11" x14ac:dyDescent="0.2">
      <c r="C143" s="14" t="s">
        <v>9</v>
      </c>
      <c r="D143" s="1"/>
      <c r="E143" s="1"/>
      <c r="F143" s="1"/>
    </row>
    <row r="144" spans="2:11" x14ac:dyDescent="0.2">
      <c r="C144" s="14" t="s">
        <v>9</v>
      </c>
    </row>
    <row r="145" spans="2:6" ht="18.75" customHeight="1" x14ac:dyDescent="0.25">
      <c r="B145" s="10" t="s">
        <v>811</v>
      </c>
      <c r="C145" s="9" t="s">
        <v>810</v>
      </c>
    </row>
    <row r="146" spans="2:6" x14ac:dyDescent="0.2">
      <c r="B146" s="1" t="s">
        <v>813</v>
      </c>
      <c r="D146" s="2">
        <v>0</v>
      </c>
      <c r="E146" s="2">
        <v>21156800</v>
      </c>
      <c r="F146" s="2">
        <f>D146-E146</f>
        <v>-21156800</v>
      </c>
    </row>
    <row r="147" spans="2:6" x14ac:dyDescent="0.2">
      <c r="C147" s="169" t="s">
        <v>935</v>
      </c>
    </row>
    <row r="148" spans="2:6" ht="31.5" x14ac:dyDescent="0.25">
      <c r="B148" s="275" t="s">
        <v>812</v>
      </c>
      <c r="C148" s="14" t="s">
        <v>9</v>
      </c>
      <c r="D148" s="17">
        <f>SUM(D146:D146)</f>
        <v>0</v>
      </c>
      <c r="E148" s="17">
        <f>SUM(E146:E146)</f>
        <v>21156800</v>
      </c>
      <c r="F148" s="17">
        <f>SUM(F146:F146)</f>
        <v>-21156800</v>
      </c>
    </row>
    <row r="149" spans="2:6" x14ac:dyDescent="0.2">
      <c r="C149" s="14" t="s">
        <v>9</v>
      </c>
      <c r="D149" s="1"/>
      <c r="E149" s="1"/>
      <c r="F149" s="1"/>
    </row>
    <row r="150" spans="2:6" x14ac:dyDescent="0.2">
      <c r="E150" s="1"/>
      <c r="F150" s="1"/>
    </row>
    <row r="151" spans="2:6" x14ac:dyDescent="0.2">
      <c r="E151" s="1"/>
      <c r="F151" s="1"/>
    </row>
    <row r="152" spans="2:6" x14ac:dyDescent="0.2">
      <c r="E152" s="1"/>
      <c r="F152" s="1"/>
    </row>
    <row r="153" spans="2:6" x14ac:dyDescent="0.2">
      <c r="E153" s="6"/>
      <c r="F153" s="1"/>
    </row>
    <row r="154" spans="2:6" x14ac:dyDescent="0.2">
      <c r="E154" s="1"/>
      <c r="F154" s="1"/>
    </row>
    <row r="155" spans="2:6" x14ac:dyDescent="0.2">
      <c r="E155" s="1"/>
      <c r="F155" s="1"/>
    </row>
    <row r="156" spans="2:6" x14ac:dyDescent="0.2">
      <c r="E156" s="1"/>
      <c r="F156" s="1"/>
    </row>
    <row r="157" spans="2:6" x14ac:dyDescent="0.2">
      <c r="E157" s="1"/>
      <c r="F157" s="1"/>
    </row>
    <row r="158" spans="2:6" x14ac:dyDescent="0.2">
      <c r="E158" s="1"/>
      <c r="F158" s="1"/>
    </row>
    <row r="159" spans="2:6" x14ac:dyDescent="0.2">
      <c r="E159" s="1"/>
      <c r="F159" s="1"/>
    </row>
    <row r="160" spans="2:6" x14ac:dyDescent="0.2">
      <c r="E160" s="1"/>
      <c r="F160" s="1"/>
    </row>
    <row r="161" spans="4:6" x14ac:dyDescent="0.2">
      <c r="E161" s="1"/>
      <c r="F161" s="1"/>
    </row>
    <row r="162" spans="4:6" x14ac:dyDescent="0.2">
      <c r="E162" s="1"/>
      <c r="F162" s="1"/>
    </row>
    <row r="163" spans="4:6" x14ac:dyDescent="0.2">
      <c r="D163" s="1"/>
      <c r="E163" s="1"/>
      <c r="F163" s="1"/>
    </row>
    <row r="164" spans="4:6" x14ac:dyDescent="0.2">
      <c r="D164" s="1"/>
      <c r="E164" s="1"/>
      <c r="F164" s="1"/>
    </row>
    <row r="165" spans="4:6" x14ac:dyDescent="0.2">
      <c r="D165" s="1"/>
      <c r="E165" s="1"/>
      <c r="F165" s="1"/>
    </row>
    <row r="166" spans="4:6" x14ac:dyDescent="0.2">
      <c r="D166" s="1"/>
      <c r="E166" s="1"/>
      <c r="F166" s="1"/>
    </row>
    <row r="167" spans="4:6" x14ac:dyDescent="0.2">
      <c r="D167" s="1"/>
      <c r="E167" s="1"/>
      <c r="F167" s="1"/>
    </row>
    <row r="168" spans="4:6" x14ac:dyDescent="0.2">
      <c r="D168" s="1"/>
      <c r="E168" s="1"/>
      <c r="F168" s="1"/>
    </row>
    <row r="169" spans="4:6" x14ac:dyDescent="0.2">
      <c r="D169" s="1"/>
      <c r="E169" s="1"/>
      <c r="F169" s="1"/>
    </row>
    <row r="170" spans="4:6" x14ac:dyDescent="0.2">
      <c r="D170" s="1"/>
      <c r="E170" s="1"/>
      <c r="F170" s="1"/>
    </row>
    <row r="171" spans="4:6" x14ac:dyDescent="0.2">
      <c r="D171" s="1"/>
      <c r="E171" s="1"/>
      <c r="F171" s="1"/>
    </row>
    <row r="172" spans="4:6" x14ac:dyDescent="0.2">
      <c r="D172" s="1"/>
      <c r="E172" s="1"/>
      <c r="F172" s="1"/>
    </row>
    <row r="173" spans="4:6" x14ac:dyDescent="0.2">
      <c r="D173" s="1"/>
      <c r="E173" s="1"/>
      <c r="F173" s="1"/>
    </row>
    <row r="174" spans="4:6" x14ac:dyDescent="0.2">
      <c r="D174" s="1"/>
      <c r="E174" s="1"/>
      <c r="F174" s="1"/>
    </row>
    <row r="175" spans="4:6" x14ac:dyDescent="0.2">
      <c r="D175" s="1"/>
      <c r="E175" s="1"/>
      <c r="F175" s="1"/>
    </row>
    <row r="176" spans="4:6" x14ac:dyDescent="0.2">
      <c r="D176" s="1"/>
      <c r="E176" s="1"/>
      <c r="F176" s="1"/>
    </row>
    <row r="177" spans="4:6" x14ac:dyDescent="0.2">
      <c r="D177" s="1"/>
      <c r="E177" s="1"/>
      <c r="F177" s="1"/>
    </row>
    <row r="178" spans="4:6" x14ac:dyDescent="0.2">
      <c r="D178" s="1"/>
      <c r="E178" s="1"/>
      <c r="F178" s="1"/>
    </row>
    <row r="179" spans="4:6" x14ac:dyDescent="0.2">
      <c r="D179" s="1"/>
      <c r="E179" s="1"/>
      <c r="F179" s="1"/>
    </row>
    <row r="180" spans="4:6" x14ac:dyDescent="0.2">
      <c r="D180" s="1"/>
      <c r="E180" s="1"/>
      <c r="F180" s="1"/>
    </row>
    <row r="181" spans="4:6" x14ac:dyDescent="0.2">
      <c r="D181" s="1"/>
      <c r="E181" s="1"/>
      <c r="F181" s="1"/>
    </row>
    <row r="182" spans="4:6" x14ac:dyDescent="0.2">
      <c r="D182" s="1"/>
      <c r="E182" s="1"/>
      <c r="F182" s="1"/>
    </row>
    <row r="183" spans="4:6" x14ac:dyDescent="0.2">
      <c r="D183" s="1"/>
      <c r="E183" s="1"/>
      <c r="F183" s="1"/>
    </row>
    <row r="184" spans="4:6" x14ac:dyDescent="0.2">
      <c r="D184" s="1"/>
      <c r="E184" s="1"/>
      <c r="F184" s="1"/>
    </row>
    <row r="185" spans="4:6" x14ac:dyDescent="0.2">
      <c r="D185" s="1"/>
      <c r="E185" s="1"/>
      <c r="F185" s="1"/>
    </row>
    <row r="186" spans="4:6" x14ac:dyDescent="0.2">
      <c r="D186" s="1"/>
      <c r="E186" s="1"/>
      <c r="F186" s="1"/>
    </row>
    <row r="187" spans="4:6" x14ac:dyDescent="0.2">
      <c r="D187" s="1"/>
      <c r="E187" s="1"/>
      <c r="F187" s="1"/>
    </row>
    <row r="188" spans="4:6" x14ac:dyDescent="0.2">
      <c r="D188" s="1"/>
      <c r="E188" s="1"/>
      <c r="F188" s="1"/>
    </row>
    <row r="189" spans="4:6" x14ac:dyDescent="0.2">
      <c r="D189" s="1"/>
      <c r="E189" s="1"/>
      <c r="F189" s="1"/>
    </row>
    <row r="190" spans="4:6" x14ac:dyDescent="0.2">
      <c r="D190" s="1"/>
      <c r="E190" s="1"/>
      <c r="F190" s="1"/>
    </row>
    <row r="191" spans="4:6" x14ac:dyDescent="0.2">
      <c r="D191" s="1"/>
      <c r="E191" s="1"/>
      <c r="F191" s="1"/>
    </row>
    <row r="192" spans="4:6" x14ac:dyDescent="0.2">
      <c r="D192" s="1"/>
      <c r="E192" s="1"/>
      <c r="F192" s="1"/>
    </row>
    <row r="193" spans="4:6" x14ac:dyDescent="0.2">
      <c r="D193" s="1"/>
      <c r="E193" s="1"/>
      <c r="F193" s="1"/>
    </row>
    <row r="194" spans="4:6" x14ac:dyDescent="0.2">
      <c r="D194" s="1"/>
      <c r="E194" s="1"/>
      <c r="F194" s="1"/>
    </row>
    <row r="195" spans="4:6" x14ac:dyDescent="0.2">
      <c r="D195" s="1"/>
      <c r="E195" s="1"/>
      <c r="F195" s="1"/>
    </row>
    <row r="196" spans="4:6" x14ac:dyDescent="0.2">
      <c r="D196" s="1"/>
      <c r="E196" s="1"/>
      <c r="F196" s="1"/>
    </row>
    <row r="197" spans="4:6" x14ac:dyDescent="0.2">
      <c r="D197" s="1"/>
      <c r="E197" s="1"/>
      <c r="F197" s="1"/>
    </row>
    <row r="198" spans="4:6" x14ac:dyDescent="0.2">
      <c r="D198" s="1"/>
      <c r="E198" s="1"/>
      <c r="F198" s="1"/>
    </row>
    <row r="199" spans="4:6" x14ac:dyDescent="0.2">
      <c r="D199" s="1"/>
      <c r="E199" s="1"/>
      <c r="F199" s="1"/>
    </row>
    <row r="200" spans="4:6" x14ac:dyDescent="0.2">
      <c r="D200" s="1"/>
      <c r="E200" s="1"/>
      <c r="F200" s="1"/>
    </row>
    <row r="201" spans="4:6" x14ac:dyDescent="0.2">
      <c r="D201" s="1"/>
      <c r="E201" s="1"/>
      <c r="F201" s="1"/>
    </row>
    <row r="202" spans="4:6" x14ac:dyDescent="0.2">
      <c r="D202" s="1"/>
      <c r="E202" s="1"/>
      <c r="F202" s="1"/>
    </row>
    <row r="203" spans="4:6" x14ac:dyDescent="0.2">
      <c r="D203" s="1"/>
      <c r="E203" s="1"/>
      <c r="F203" s="1"/>
    </row>
    <row r="204" spans="4:6" x14ac:dyDescent="0.2">
      <c r="D204" s="1"/>
      <c r="E204" s="1"/>
      <c r="F204" s="1"/>
    </row>
    <row r="205" spans="4:6" x14ac:dyDescent="0.2">
      <c r="D205" s="1"/>
      <c r="E205" s="1"/>
      <c r="F205" s="1"/>
    </row>
    <row r="206" spans="4:6" x14ac:dyDescent="0.2">
      <c r="D206" s="1"/>
      <c r="E206" s="1"/>
      <c r="F206" s="1"/>
    </row>
    <row r="207" spans="4:6" x14ac:dyDescent="0.2">
      <c r="D207" s="1"/>
      <c r="E207" s="1"/>
      <c r="F207" s="1"/>
    </row>
    <row r="208" spans="4:6" x14ac:dyDescent="0.2">
      <c r="D208" s="1"/>
      <c r="E208" s="1"/>
      <c r="F208" s="1"/>
    </row>
    <row r="209" spans="4:6" x14ac:dyDescent="0.2">
      <c r="D209" s="1"/>
      <c r="E209" s="1"/>
      <c r="F209" s="1"/>
    </row>
    <row r="210" spans="4:6" x14ac:dyDescent="0.2">
      <c r="D210" s="1"/>
      <c r="E210" s="1"/>
      <c r="F210" s="1"/>
    </row>
    <row r="211" spans="4:6" x14ac:dyDescent="0.2">
      <c r="D211" s="1"/>
      <c r="E211" s="1"/>
      <c r="F211" s="1"/>
    </row>
    <row r="212" spans="4:6" x14ac:dyDescent="0.2">
      <c r="D212" s="1"/>
      <c r="E212" s="1"/>
      <c r="F212" s="1"/>
    </row>
    <row r="213" spans="4:6" x14ac:dyDescent="0.2">
      <c r="D213" s="1"/>
      <c r="E213" s="1"/>
      <c r="F213" s="1"/>
    </row>
    <row r="214" spans="4:6" x14ac:dyDescent="0.2">
      <c r="D214" s="1"/>
      <c r="E214" s="1"/>
      <c r="F214" s="1"/>
    </row>
    <row r="215" spans="4:6" x14ac:dyDescent="0.2">
      <c r="D215" s="1"/>
      <c r="E215" s="1"/>
      <c r="F215" s="1"/>
    </row>
    <row r="216" spans="4:6" x14ac:dyDescent="0.2">
      <c r="D216" s="1"/>
      <c r="E216" s="1"/>
      <c r="F216" s="1"/>
    </row>
    <row r="217" spans="4:6" x14ac:dyDescent="0.2">
      <c r="D217" s="1"/>
      <c r="E217" s="1"/>
      <c r="F217" s="1"/>
    </row>
    <row r="218" spans="4:6" x14ac:dyDescent="0.2">
      <c r="D218" s="1"/>
      <c r="E218" s="1"/>
      <c r="F218" s="1"/>
    </row>
    <row r="219" spans="4:6" x14ac:dyDescent="0.2">
      <c r="D219" s="1"/>
      <c r="E219" s="1"/>
      <c r="F219" s="1"/>
    </row>
    <row r="220" spans="4:6" x14ac:dyDescent="0.2">
      <c r="D220" s="1"/>
      <c r="E220" s="1"/>
      <c r="F220" s="1"/>
    </row>
    <row r="221" spans="4:6" x14ac:dyDescent="0.2">
      <c r="D221" s="1"/>
      <c r="E221" s="1"/>
      <c r="F221" s="1"/>
    </row>
    <row r="222" spans="4:6" x14ac:dyDescent="0.2">
      <c r="D222" s="1"/>
      <c r="E222" s="1"/>
      <c r="F222" s="1"/>
    </row>
    <row r="223" spans="4:6" x14ac:dyDescent="0.2">
      <c r="D223" s="1"/>
      <c r="E223" s="1"/>
      <c r="F223" s="1"/>
    </row>
    <row r="224" spans="4:6" x14ac:dyDescent="0.2">
      <c r="D224" s="1"/>
      <c r="E224" s="1"/>
      <c r="F224" s="1"/>
    </row>
    <row r="225" spans="4:6" x14ac:dyDescent="0.2">
      <c r="D225" s="1"/>
      <c r="E225" s="1"/>
      <c r="F225" s="1"/>
    </row>
    <row r="226" spans="4:6" x14ac:dyDescent="0.2">
      <c r="D226" s="1"/>
      <c r="E226" s="1"/>
      <c r="F226" s="1"/>
    </row>
    <row r="227" spans="4:6" x14ac:dyDescent="0.2">
      <c r="D227" s="1"/>
      <c r="E227" s="1"/>
      <c r="F227" s="1"/>
    </row>
    <row r="228" spans="4:6" x14ac:dyDescent="0.2">
      <c r="D228" s="1"/>
      <c r="E228" s="1"/>
      <c r="F228" s="1"/>
    </row>
    <row r="229" spans="4:6" x14ac:dyDescent="0.2">
      <c r="D229" s="1"/>
      <c r="E229" s="1"/>
      <c r="F229" s="1"/>
    </row>
    <row r="230" spans="4:6" x14ac:dyDescent="0.2">
      <c r="D230" s="1"/>
      <c r="E230" s="1"/>
      <c r="F230" s="1"/>
    </row>
    <row r="231" spans="4:6" x14ac:dyDescent="0.2">
      <c r="D231" s="1"/>
      <c r="E231" s="1"/>
      <c r="F231" s="1"/>
    </row>
    <row r="232" spans="4:6" x14ac:dyDescent="0.2">
      <c r="D232" s="1"/>
      <c r="E232" s="1"/>
      <c r="F232" s="1"/>
    </row>
    <row r="233" spans="4:6" x14ac:dyDescent="0.2">
      <c r="D233" s="1"/>
      <c r="E233" s="1"/>
      <c r="F233" s="1"/>
    </row>
    <row r="234" spans="4:6" x14ac:dyDescent="0.2">
      <c r="D234" s="1"/>
      <c r="E234" s="1"/>
      <c r="F234" s="1"/>
    </row>
    <row r="235" spans="4:6" x14ac:dyDescent="0.2">
      <c r="D235" s="1"/>
      <c r="E235" s="1"/>
      <c r="F235" s="1"/>
    </row>
    <row r="236" spans="4:6" x14ac:dyDescent="0.2">
      <c r="D236" s="1"/>
      <c r="E236" s="1"/>
      <c r="F236" s="1"/>
    </row>
    <row r="237" spans="4:6" x14ac:dyDescent="0.2">
      <c r="D237" s="1"/>
      <c r="E237" s="1"/>
      <c r="F237" s="1"/>
    </row>
    <row r="238" spans="4:6" x14ac:dyDescent="0.2">
      <c r="D238" s="1"/>
      <c r="E238" s="1"/>
      <c r="F238" s="1"/>
    </row>
    <row r="239" spans="4:6" x14ac:dyDescent="0.2">
      <c r="D239" s="1"/>
      <c r="E239" s="1"/>
      <c r="F239" s="1"/>
    </row>
    <row r="240" spans="4:6" x14ac:dyDescent="0.2">
      <c r="D240" s="1"/>
      <c r="E240" s="1"/>
      <c r="F240" s="1"/>
    </row>
    <row r="241" spans="4:6" x14ac:dyDescent="0.2">
      <c r="D241" s="1"/>
      <c r="E241" s="1"/>
      <c r="F241" s="1"/>
    </row>
    <row r="242" spans="4:6" x14ac:dyDescent="0.2">
      <c r="D242" s="1"/>
      <c r="E242" s="1"/>
      <c r="F242" s="1"/>
    </row>
    <row r="243" spans="4:6" x14ac:dyDescent="0.2">
      <c r="D243" s="1"/>
      <c r="E243" s="1"/>
      <c r="F243" s="1"/>
    </row>
    <row r="244" spans="4:6" x14ac:dyDescent="0.2">
      <c r="D244" s="1"/>
      <c r="E244" s="1"/>
      <c r="F244" s="1"/>
    </row>
    <row r="245" spans="4:6" x14ac:dyDescent="0.2">
      <c r="D245" s="1"/>
      <c r="E245" s="1"/>
      <c r="F245" s="1"/>
    </row>
    <row r="246" spans="4:6" x14ac:dyDescent="0.2">
      <c r="D246" s="1"/>
      <c r="E246" s="1"/>
      <c r="F246" s="1"/>
    </row>
    <row r="247" spans="4:6" x14ac:dyDescent="0.2">
      <c r="D247" s="1"/>
      <c r="E247" s="1"/>
      <c r="F247" s="1"/>
    </row>
    <row r="248" spans="4:6" x14ac:dyDescent="0.2">
      <c r="D248" s="1"/>
      <c r="E248" s="1"/>
      <c r="F248" s="1"/>
    </row>
    <row r="249" spans="4:6" x14ac:dyDescent="0.2">
      <c r="D249" s="1"/>
      <c r="E249" s="1"/>
      <c r="F249" s="1"/>
    </row>
    <row r="250" spans="4:6" x14ac:dyDescent="0.2">
      <c r="D250" s="1"/>
      <c r="E250" s="1"/>
      <c r="F250" s="1"/>
    </row>
    <row r="251" spans="4:6" x14ac:dyDescent="0.2">
      <c r="D251" s="1"/>
      <c r="E251" s="1"/>
      <c r="F251" s="1"/>
    </row>
    <row r="252" spans="4:6" x14ac:dyDescent="0.2">
      <c r="D252" s="1"/>
      <c r="E252" s="1"/>
      <c r="F252" s="1"/>
    </row>
    <row r="253" spans="4:6" x14ac:dyDescent="0.2">
      <c r="D253" s="1"/>
      <c r="E253" s="1"/>
      <c r="F253" s="1"/>
    </row>
    <row r="254" spans="4:6" x14ac:dyDescent="0.2">
      <c r="D254" s="1"/>
      <c r="E254" s="1"/>
      <c r="F254" s="1"/>
    </row>
    <row r="255" spans="4:6" x14ac:dyDescent="0.2">
      <c r="D255" s="1"/>
      <c r="E255" s="1"/>
      <c r="F255" s="1"/>
    </row>
    <row r="256" spans="4:6" x14ac:dyDescent="0.2">
      <c r="D256" s="1"/>
      <c r="E256" s="1"/>
      <c r="F256" s="1"/>
    </row>
    <row r="257" spans="4:6" x14ac:dyDescent="0.2">
      <c r="D257" s="1"/>
      <c r="E257" s="1"/>
      <c r="F257" s="1"/>
    </row>
    <row r="258" spans="4:6" x14ac:dyDescent="0.2">
      <c r="D258" s="1"/>
      <c r="E258" s="1"/>
      <c r="F258" s="1"/>
    </row>
    <row r="259" spans="4:6" x14ac:dyDescent="0.2">
      <c r="D259" s="1"/>
      <c r="E259" s="1"/>
      <c r="F259" s="1"/>
    </row>
    <row r="260" spans="4:6" x14ac:dyDescent="0.2">
      <c r="D260" s="1"/>
      <c r="E260" s="1"/>
      <c r="F260" s="1"/>
    </row>
    <row r="261" spans="4:6" x14ac:dyDescent="0.2">
      <c r="D261" s="1"/>
      <c r="E261" s="1"/>
      <c r="F261" s="1"/>
    </row>
    <row r="262" spans="4:6" x14ac:dyDescent="0.2">
      <c r="D262" s="1"/>
      <c r="E262" s="1"/>
      <c r="F262" s="1"/>
    </row>
    <row r="263" spans="4:6" x14ac:dyDescent="0.2">
      <c r="D263" s="1"/>
      <c r="E263" s="1"/>
      <c r="F263" s="1"/>
    </row>
  </sheetData>
  <pageMargins left="0.35433070866141736" right="0.23622047244094491" top="0.31496062992125984" bottom="0.55118110236220474" header="0.15748031496062992" footer="0.31496062992125984"/>
  <pageSetup scale="60" orientation="portrait" r:id="rId1"/>
  <headerFooter>
    <oddFooter>Page &amp;P of &amp;N</oddFooter>
  </headerFooter>
  <rowBreaks count="1" manualBreakCount="1">
    <brk id="81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6:K165"/>
  <sheetViews>
    <sheetView view="pageBreakPreview" topLeftCell="A13" zoomScale="80" zoomScaleNormal="80" zoomScaleSheetLayoutView="80" workbookViewId="0">
      <selection activeCell="E22" sqref="E22"/>
    </sheetView>
  </sheetViews>
  <sheetFormatPr baseColWidth="10" defaultColWidth="11.5703125" defaultRowHeight="15" x14ac:dyDescent="0.2"/>
  <cols>
    <col min="1" max="1" width="5.140625" style="1" customWidth="1"/>
    <col min="2" max="2" width="35.140625" style="1" customWidth="1"/>
    <col min="3" max="3" width="10.7109375" style="1" customWidth="1"/>
    <col min="4" max="4" width="19.7109375" style="1" bestFit="1" customWidth="1"/>
    <col min="5" max="5" width="20.140625" style="1" bestFit="1" customWidth="1"/>
    <col min="6" max="6" width="28.42578125" style="1" bestFit="1" customWidth="1"/>
    <col min="7" max="7" width="20.140625" style="1" bestFit="1" customWidth="1"/>
    <col min="8" max="8" width="29" style="1" bestFit="1" customWidth="1"/>
    <col min="9" max="9" width="22.7109375" style="1" bestFit="1" customWidth="1"/>
    <col min="10" max="10" width="29" style="1" bestFit="1" customWidth="1"/>
    <col min="11" max="11" width="18.140625" style="1" customWidth="1"/>
    <col min="12" max="16384" width="11.5703125" style="1"/>
  </cols>
  <sheetData>
    <row r="6" spans="2:11" s="280" customFormat="1" ht="21" customHeight="1" x14ac:dyDescent="0.25">
      <c r="B6" s="278" t="str">
        <f>+'A-SITUACION (2)'!B6</f>
        <v xml:space="preserve">ANEXOS DE ESTADO DE SITUACIÓN </v>
      </c>
      <c r="F6" s="1"/>
      <c r="G6" s="1"/>
      <c r="H6" s="1"/>
      <c r="I6" s="1"/>
    </row>
    <row r="7" spans="2:11" s="280" customFormat="1" ht="21.75" customHeight="1" x14ac:dyDescent="0.25">
      <c r="B7" s="278" t="s">
        <v>929</v>
      </c>
      <c r="F7" s="1"/>
      <c r="G7" s="1"/>
      <c r="H7" s="1"/>
      <c r="I7" s="1"/>
    </row>
    <row r="8" spans="2:11" s="280" customFormat="1" ht="18.75" customHeight="1" x14ac:dyDescent="0.25">
      <c r="B8" s="278" t="str">
        <f>+'A-SITUACION (2)'!B8</f>
        <v>VALORES EXPRESADOS EN RD$</v>
      </c>
      <c r="F8" s="1"/>
      <c r="G8" s="1"/>
      <c r="H8" s="1"/>
      <c r="I8" s="1"/>
      <c r="J8" s="309"/>
    </row>
    <row r="9" spans="2:11" s="280" customFormat="1" ht="18" x14ac:dyDescent="0.25">
      <c r="F9" s="1"/>
      <c r="G9" s="1"/>
      <c r="H9" s="1"/>
      <c r="I9" s="1"/>
      <c r="J9" s="309"/>
    </row>
    <row r="10" spans="2:11" s="280" customFormat="1" ht="22.5" customHeight="1" x14ac:dyDescent="0.25">
      <c r="C10" s="283" t="s">
        <v>131</v>
      </c>
      <c r="D10" s="279">
        <v>11</v>
      </c>
      <c r="F10" s="1"/>
      <c r="G10" s="1"/>
      <c r="H10" s="1"/>
      <c r="I10" s="1"/>
      <c r="J10" s="309"/>
    </row>
    <row r="11" spans="2:11" s="280" customFormat="1" ht="18" x14ac:dyDescent="0.25">
      <c r="E11" s="282"/>
      <c r="F11" s="1"/>
      <c r="G11" s="1"/>
      <c r="H11" s="6"/>
      <c r="I11" s="1"/>
    </row>
    <row r="12" spans="2:11" s="280" customFormat="1" ht="28.5" customHeight="1" x14ac:dyDescent="0.25">
      <c r="B12" s="278" t="s">
        <v>805</v>
      </c>
    </row>
    <row r="13" spans="2:11" s="280" customFormat="1" ht="28.5" customHeight="1" x14ac:dyDescent="0.25">
      <c r="B13" s="278"/>
    </row>
    <row r="14" spans="2:11" s="280" customFormat="1" ht="29.25" customHeight="1" x14ac:dyDescent="0.25">
      <c r="D14" s="310" t="s">
        <v>221</v>
      </c>
      <c r="E14" s="468" t="s">
        <v>883</v>
      </c>
      <c r="F14" s="469"/>
      <c r="G14" s="468" t="s">
        <v>878</v>
      </c>
      <c r="H14" s="469"/>
      <c r="I14" s="470" t="s">
        <v>852</v>
      </c>
      <c r="J14" s="469"/>
    </row>
    <row r="15" spans="2:11" ht="18.75" customHeight="1" x14ac:dyDescent="0.25">
      <c r="D15" s="152" t="s">
        <v>91</v>
      </c>
      <c r="E15" s="161" t="s">
        <v>93</v>
      </c>
      <c r="F15" s="153" t="s">
        <v>134</v>
      </c>
      <c r="G15" s="161" t="s">
        <v>93</v>
      </c>
      <c r="H15" s="153" t="s">
        <v>134</v>
      </c>
      <c r="I15" s="161" t="s">
        <v>93</v>
      </c>
      <c r="J15" s="153" t="s">
        <v>134</v>
      </c>
    </row>
    <row r="16" spans="2:11" ht="18.75" customHeight="1" x14ac:dyDescent="0.25">
      <c r="B16" s="154" t="s">
        <v>283</v>
      </c>
      <c r="D16" s="152" t="s">
        <v>92</v>
      </c>
      <c r="E16" s="9" t="s">
        <v>94</v>
      </c>
      <c r="F16" s="155" t="s">
        <v>135</v>
      </c>
      <c r="G16" s="9" t="s">
        <v>94</v>
      </c>
      <c r="H16" s="155" t="s">
        <v>135</v>
      </c>
      <c r="I16" s="9" t="s">
        <v>94</v>
      </c>
      <c r="J16" s="155" t="s">
        <v>135</v>
      </c>
      <c r="K16" s="156"/>
    </row>
    <row r="17" spans="2:10" ht="18.75" customHeight="1" x14ac:dyDescent="0.2">
      <c r="D17" s="157"/>
      <c r="F17" s="356"/>
      <c r="H17" s="158"/>
      <c r="I17" s="4"/>
      <c r="J17" s="158"/>
    </row>
    <row r="18" spans="2:10" ht="18.75" customHeight="1" x14ac:dyDescent="0.2">
      <c r="B18" s="1" t="s">
        <v>829</v>
      </c>
      <c r="D18" s="159">
        <v>49.500102454999997</v>
      </c>
      <c r="E18" s="162">
        <f>F18/100</f>
        <v>6953497</v>
      </c>
      <c r="F18" s="158">
        <v>695349700</v>
      </c>
      <c r="G18" s="162">
        <v>6953497</v>
      </c>
      <c r="H18" s="158">
        <v>695349700</v>
      </c>
      <c r="I18" s="162">
        <v>3459281</v>
      </c>
      <c r="J18" s="158">
        <v>695349700</v>
      </c>
    </row>
    <row r="19" spans="2:10" ht="18.75" customHeight="1" x14ac:dyDescent="0.2">
      <c r="B19" s="1" t="s">
        <v>709</v>
      </c>
      <c r="D19" s="159">
        <v>49.9739570395</v>
      </c>
      <c r="E19" s="162">
        <f>F19/100</f>
        <v>28163101</v>
      </c>
      <c r="F19" s="356">
        <v>2816310100</v>
      </c>
      <c r="G19" s="162">
        <v>28163101</v>
      </c>
      <c r="H19" s="158">
        <v>2816310100</v>
      </c>
      <c r="I19" s="162">
        <v>28163101</v>
      </c>
      <c r="J19" s="158">
        <v>2816310100</v>
      </c>
    </row>
    <row r="20" spans="2:10" ht="18.75" customHeight="1" x14ac:dyDescent="0.2">
      <c r="B20" s="1" t="s">
        <v>86</v>
      </c>
      <c r="D20" s="159">
        <v>49.590354330700002</v>
      </c>
      <c r="E20" s="162">
        <f>F20/100</f>
        <v>2519190</v>
      </c>
      <c r="F20" s="356">
        <f>251919000+0</f>
        <v>251919000</v>
      </c>
      <c r="G20" s="162">
        <v>2519190</v>
      </c>
      <c r="H20" s="158">
        <v>251919000</v>
      </c>
      <c r="I20" s="162">
        <v>2519190</v>
      </c>
      <c r="J20" s="158">
        <v>251919000</v>
      </c>
    </row>
    <row r="21" spans="2:10" ht="18.75" customHeight="1" x14ac:dyDescent="0.2">
      <c r="B21" s="1" t="s">
        <v>87</v>
      </c>
      <c r="D21" s="159">
        <v>49.993471306399996</v>
      </c>
      <c r="E21" s="162">
        <f>2297250000/100</f>
        <v>22972500</v>
      </c>
      <c r="F21" s="356">
        <f>8255839712.26+0</f>
        <v>8255839712.2600002</v>
      </c>
      <c r="G21" s="162">
        <v>22972500</v>
      </c>
      <c r="H21" s="158">
        <v>8255839712.2600002</v>
      </c>
      <c r="I21" s="162">
        <v>22972500</v>
      </c>
      <c r="J21" s="158">
        <v>8255839712.2600002</v>
      </c>
    </row>
    <row r="22" spans="2:10" ht="18.75" customHeight="1" x14ac:dyDescent="0.2">
      <c r="B22" s="1" t="s">
        <v>89</v>
      </c>
      <c r="D22" s="159">
        <v>99.979305835000005</v>
      </c>
      <c r="E22" s="162">
        <f>F22/100</f>
        <v>32403395</v>
      </c>
      <c r="F22" s="356">
        <v>3240339500</v>
      </c>
      <c r="G22" s="162">
        <v>32403395</v>
      </c>
      <c r="H22" s="158">
        <v>3240339500</v>
      </c>
      <c r="I22" s="162">
        <v>32403395</v>
      </c>
      <c r="J22" s="158">
        <v>3240339500</v>
      </c>
    </row>
    <row r="23" spans="2:10" ht="18.75" customHeight="1" x14ac:dyDescent="0.2">
      <c r="B23" s="1" t="s">
        <v>88</v>
      </c>
      <c r="D23" s="159">
        <v>99.960759730299998</v>
      </c>
      <c r="E23" s="162">
        <f>F23/100</f>
        <v>34750978</v>
      </c>
      <c r="F23" s="356">
        <v>3475097800</v>
      </c>
      <c r="G23" s="162">
        <v>34750978</v>
      </c>
      <c r="H23" s="158">
        <v>3475097800</v>
      </c>
      <c r="I23" s="162">
        <v>34750978</v>
      </c>
      <c r="J23" s="158">
        <v>3475097800</v>
      </c>
    </row>
    <row r="24" spans="2:10" ht="18.75" customHeight="1" x14ac:dyDescent="0.2">
      <c r="B24" s="1" t="s">
        <v>90</v>
      </c>
      <c r="D24" s="159">
        <v>99.9381695318</v>
      </c>
      <c r="E24" s="162">
        <f>F24/100</f>
        <v>34628160</v>
      </c>
      <c r="F24" s="356">
        <v>3462816000</v>
      </c>
      <c r="G24" s="162">
        <v>34628160</v>
      </c>
      <c r="H24" s="158">
        <v>3462816000</v>
      </c>
      <c r="I24" s="162">
        <v>34628160</v>
      </c>
      <c r="J24" s="158">
        <v>3462816000</v>
      </c>
    </row>
    <row r="25" spans="2:10" ht="18.75" customHeight="1" x14ac:dyDescent="0.2">
      <c r="D25" s="157"/>
      <c r="F25" s="157"/>
      <c r="H25" s="157"/>
      <c r="J25" s="157"/>
    </row>
    <row r="26" spans="2:10" ht="38.25" customHeight="1" x14ac:dyDescent="0.25">
      <c r="B26" s="275" t="s">
        <v>943</v>
      </c>
      <c r="D26" s="28"/>
      <c r="E26" s="48"/>
      <c r="F26" s="163">
        <f>SUM(F18:F25)</f>
        <v>22197671812.260002</v>
      </c>
      <c r="G26" s="48"/>
      <c r="H26" s="163">
        <f>SUM(H18:H25)</f>
        <v>22197671812.260002</v>
      </c>
      <c r="I26" s="109"/>
      <c r="J26" s="163">
        <f>SUM(J18:J25)</f>
        <v>22197671812.260002</v>
      </c>
    </row>
    <row r="28" spans="2:10" x14ac:dyDescent="0.2">
      <c r="F28" s="6"/>
    </row>
    <row r="30" spans="2:10" x14ac:dyDescent="0.2">
      <c r="F30" s="6"/>
    </row>
    <row r="158" spans="11:11" x14ac:dyDescent="0.2">
      <c r="K158" s="160"/>
    </row>
    <row r="159" spans="11:11" x14ac:dyDescent="0.2">
      <c r="K159" s="160"/>
    </row>
    <row r="160" spans="11:11" x14ac:dyDescent="0.2">
      <c r="K160" s="160"/>
    </row>
    <row r="161" spans="11:11" x14ac:dyDescent="0.2">
      <c r="K161" s="160"/>
    </row>
    <row r="162" spans="11:11" x14ac:dyDescent="0.2">
      <c r="K162" s="160"/>
    </row>
    <row r="163" spans="11:11" x14ac:dyDescent="0.2">
      <c r="K163" s="160"/>
    </row>
    <row r="164" spans="11:11" x14ac:dyDescent="0.2">
      <c r="K164" s="160"/>
    </row>
    <row r="165" spans="11:11" x14ac:dyDescent="0.2">
      <c r="K165" s="160"/>
    </row>
  </sheetData>
  <mergeCells count="3">
    <mergeCell ref="E14:F14"/>
    <mergeCell ref="G14:H14"/>
    <mergeCell ref="I14:J14"/>
  </mergeCells>
  <pageMargins left="0.70866141732283472" right="0.70866141732283472" top="0.74803149606299213" bottom="0.74803149606299213" header="0.31496062992125984" footer="0.31496062992125984"/>
  <pageSetup scale="54" firstPageNumber="3" fitToHeight="10" orientation="portrait" useFirstPageNumber="1" r:id="rId1"/>
  <headerFooter>
    <oddHeader>&amp;RPágina  &amp;P</oddHeader>
  </headerFooter>
  <ignoredErrors>
    <ignoredError sqref="E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2:N193"/>
  <sheetViews>
    <sheetView view="pageBreakPreview" topLeftCell="A115" zoomScaleNormal="100" zoomScaleSheetLayoutView="100" workbookViewId="0">
      <selection activeCell="D47" activeCellId="1" sqref="D47"/>
    </sheetView>
  </sheetViews>
  <sheetFormatPr baseColWidth="10" defaultColWidth="11.5703125" defaultRowHeight="15" x14ac:dyDescent="0.2"/>
  <cols>
    <col min="1" max="1" width="4.5703125" style="1" customWidth="1"/>
    <col min="2" max="2" width="74.140625" style="1" customWidth="1"/>
    <col min="3" max="3" width="18.28515625" style="14" customWidth="1"/>
    <col min="4" max="4" width="28" style="2" customWidth="1"/>
    <col min="5" max="5" width="29.42578125" style="2" customWidth="1"/>
    <col min="6" max="6" width="25.85546875" style="2" customWidth="1"/>
    <col min="7" max="7" width="2.5703125" style="1" customWidth="1"/>
    <col min="8" max="8" width="28.42578125" style="1" customWidth="1"/>
    <col min="9" max="10" width="11.5703125" style="1"/>
    <col min="11" max="11" width="13.5703125" style="1" customWidth="1"/>
    <col min="12" max="12" width="12.85546875" style="1" bestFit="1" customWidth="1"/>
    <col min="13" max="13" width="11.5703125" style="1"/>
    <col min="14" max="14" width="13.5703125" style="1" customWidth="1"/>
    <col min="15" max="16384" width="11.5703125" style="1"/>
  </cols>
  <sheetData>
    <row r="2" spans="2:6" ht="27" customHeight="1" x14ac:dyDescent="0.2"/>
    <row r="5" spans="2:6" s="280" customFormat="1" ht="18" x14ac:dyDescent="0.25">
      <c r="B5" s="278" t="s">
        <v>125</v>
      </c>
      <c r="C5" s="285"/>
      <c r="D5" s="281"/>
      <c r="E5" s="281"/>
      <c r="F5" s="281"/>
    </row>
    <row r="6" spans="2:6" s="280" customFormat="1" ht="16.5" customHeight="1" x14ac:dyDescent="0.25">
      <c r="B6" s="278" t="s">
        <v>929</v>
      </c>
      <c r="C6" s="285"/>
      <c r="D6" s="281"/>
      <c r="E6" s="281"/>
      <c r="F6" s="281"/>
    </row>
    <row r="7" spans="2:6" s="280" customFormat="1" ht="18" x14ac:dyDescent="0.25">
      <c r="B7" s="278" t="s">
        <v>806</v>
      </c>
      <c r="C7" s="285"/>
      <c r="D7" s="281"/>
      <c r="E7" s="281"/>
      <c r="F7" s="281"/>
    </row>
    <row r="8" spans="2:6" s="280" customFormat="1" ht="18" x14ac:dyDescent="0.25">
      <c r="C8" s="285"/>
      <c r="D8" s="281"/>
      <c r="E8" s="281"/>
      <c r="F8" s="281"/>
    </row>
    <row r="9" spans="2:6" s="280" customFormat="1" ht="36" x14ac:dyDescent="0.25">
      <c r="C9" s="283" t="s">
        <v>95</v>
      </c>
      <c r="D9" s="283" t="s">
        <v>164</v>
      </c>
      <c r="E9" s="283" t="s">
        <v>165</v>
      </c>
      <c r="F9" s="283" t="s">
        <v>85</v>
      </c>
    </row>
    <row r="10" spans="2:6" ht="15.75" x14ac:dyDescent="0.25">
      <c r="C10" s="165" t="s">
        <v>9</v>
      </c>
      <c r="D10" s="93"/>
      <c r="E10" s="93"/>
      <c r="F10" s="93"/>
    </row>
    <row r="11" spans="2:6" ht="32.25" customHeight="1" x14ac:dyDescent="0.25">
      <c r="B11" s="167" t="s">
        <v>478</v>
      </c>
      <c r="C11" s="165">
        <v>12</v>
      </c>
      <c r="D11" s="93">
        <v>1947337702.2</v>
      </c>
      <c r="E11" s="93">
        <v>1947337702.2</v>
      </c>
      <c r="F11" s="93">
        <f>D11-E11</f>
        <v>0</v>
      </c>
    </row>
    <row r="12" spans="2:6" ht="15.75" x14ac:dyDescent="0.25">
      <c r="C12" s="166" t="s">
        <v>944</v>
      </c>
      <c r="D12" s="93"/>
      <c r="E12" s="93"/>
      <c r="F12" s="93"/>
    </row>
    <row r="13" spans="2:6" ht="39" customHeight="1" x14ac:dyDescent="0.25">
      <c r="B13" s="167" t="s">
        <v>479</v>
      </c>
      <c r="C13" s="165"/>
      <c r="D13" s="115">
        <f>SUM(D11)</f>
        <v>1947337702.2</v>
      </c>
      <c r="E13" s="115">
        <f>SUM(E11)</f>
        <v>1947337702.2</v>
      </c>
      <c r="F13" s="115">
        <f>SUM(F11)</f>
        <v>0</v>
      </c>
    </row>
    <row r="14" spans="2:6" ht="15.75" x14ac:dyDescent="0.25">
      <c r="C14" s="165" t="s">
        <v>9</v>
      </c>
      <c r="D14" s="93"/>
      <c r="E14" s="93"/>
      <c r="F14" s="93"/>
    </row>
    <row r="15" spans="2:6" ht="15.75" x14ac:dyDescent="0.25">
      <c r="C15" s="165" t="s">
        <v>9</v>
      </c>
      <c r="D15" s="93"/>
      <c r="E15" s="93"/>
      <c r="F15" s="93"/>
    </row>
    <row r="16" spans="2:6" ht="19.5" customHeight="1" x14ac:dyDescent="0.25">
      <c r="B16" s="10" t="s">
        <v>96</v>
      </c>
      <c r="C16" s="165">
        <v>13</v>
      </c>
      <c r="D16" s="93"/>
      <c r="E16" s="93"/>
      <c r="F16" s="93"/>
    </row>
    <row r="17" spans="2:6" ht="15.75" x14ac:dyDescent="0.25">
      <c r="B17" s="1" t="s">
        <v>67</v>
      </c>
      <c r="C17" s="165"/>
      <c r="D17" s="73">
        <v>158988812.93000001</v>
      </c>
      <c r="E17" s="73">
        <v>141643304.65000001</v>
      </c>
      <c r="F17" s="93">
        <f>D17-E17</f>
        <v>17345508.280000001</v>
      </c>
    </row>
    <row r="18" spans="2:6" ht="15.75" x14ac:dyDescent="0.25">
      <c r="C18" s="166" t="s">
        <v>944</v>
      </c>
      <c r="D18" s="93"/>
      <c r="E18" s="93"/>
      <c r="F18" s="93"/>
    </row>
    <row r="19" spans="2:6" ht="18.75" customHeight="1" x14ac:dyDescent="0.25">
      <c r="B19" s="10" t="s">
        <v>97</v>
      </c>
      <c r="C19" s="165"/>
      <c r="D19" s="115">
        <f>SUM(D17:D17)</f>
        <v>158988812.93000001</v>
      </c>
      <c r="E19" s="115">
        <f>SUM(E17:E17)</f>
        <v>141643304.65000001</v>
      </c>
      <c r="F19" s="115">
        <f>SUM(F17:F17)</f>
        <v>17345508.280000001</v>
      </c>
    </row>
    <row r="20" spans="2:6" ht="15.75" x14ac:dyDescent="0.25">
      <c r="C20" s="165" t="s">
        <v>9</v>
      </c>
      <c r="D20" s="73"/>
      <c r="E20" s="93"/>
      <c r="F20" s="93"/>
    </row>
    <row r="21" spans="2:6" ht="15.75" x14ac:dyDescent="0.25">
      <c r="C21" s="165" t="s">
        <v>9</v>
      </c>
      <c r="D21" s="93"/>
      <c r="E21" s="93"/>
      <c r="F21" s="93"/>
    </row>
    <row r="22" spans="2:6" ht="18" customHeight="1" x14ac:dyDescent="0.25">
      <c r="B22" s="10" t="s">
        <v>98</v>
      </c>
      <c r="C22" s="165">
        <v>14</v>
      </c>
      <c r="D22" s="93"/>
      <c r="E22" s="93"/>
      <c r="F22" s="93"/>
    </row>
    <row r="23" spans="2:6" ht="15.75" x14ac:dyDescent="0.25">
      <c r="B23" s="1" t="s">
        <v>68</v>
      </c>
      <c r="C23" s="165" t="s">
        <v>9</v>
      </c>
      <c r="D23" s="73">
        <v>715738.54</v>
      </c>
      <c r="E23" s="73">
        <v>715738.54</v>
      </c>
      <c r="F23" s="93">
        <f>D23-E23</f>
        <v>0</v>
      </c>
    </row>
    <row r="24" spans="2:6" ht="15.75" x14ac:dyDescent="0.25">
      <c r="C24" s="166" t="s">
        <v>944</v>
      </c>
      <c r="D24" s="93"/>
      <c r="E24" s="93"/>
      <c r="F24" s="93"/>
    </row>
    <row r="25" spans="2:6" ht="15.75" x14ac:dyDescent="0.25">
      <c r="B25" s="10" t="s">
        <v>99</v>
      </c>
      <c r="C25" s="165"/>
      <c r="D25" s="115">
        <f>SUM(D23:D23)</f>
        <v>715738.54</v>
      </c>
      <c r="E25" s="115">
        <f>SUM(E23:E23)</f>
        <v>715738.54</v>
      </c>
      <c r="F25" s="115">
        <f>SUM(F23:F23)</f>
        <v>0</v>
      </c>
    </row>
    <row r="26" spans="2:6" ht="15.75" x14ac:dyDescent="0.25">
      <c r="C26" s="165" t="s">
        <v>9</v>
      </c>
      <c r="D26" s="93"/>
      <c r="E26" s="93"/>
      <c r="F26" s="93"/>
    </row>
    <row r="27" spans="2:6" ht="15.75" x14ac:dyDescent="0.25">
      <c r="C27" s="165" t="s">
        <v>9</v>
      </c>
      <c r="D27" s="93"/>
      <c r="E27" s="93"/>
      <c r="F27" s="93"/>
    </row>
    <row r="28" spans="2:6" ht="20.25" customHeight="1" x14ac:dyDescent="0.25">
      <c r="B28" s="10" t="s">
        <v>100</v>
      </c>
      <c r="C28" s="165">
        <v>15</v>
      </c>
      <c r="D28" s="93"/>
      <c r="E28" s="93"/>
      <c r="F28" s="93"/>
    </row>
    <row r="29" spans="2:6" ht="15.75" x14ac:dyDescent="0.25">
      <c r="B29" s="1" t="s">
        <v>101</v>
      </c>
      <c r="C29" s="165" t="s">
        <v>9</v>
      </c>
      <c r="D29" s="73">
        <v>92482562.680000007</v>
      </c>
      <c r="E29" s="93">
        <v>84132042.680000007</v>
      </c>
      <c r="F29" s="93">
        <f t="shared" ref="F29:F48" si="0">D29-E29</f>
        <v>8350520</v>
      </c>
    </row>
    <row r="30" spans="2:6" ht="15.75" x14ac:dyDescent="0.25">
      <c r="B30" s="1" t="s">
        <v>224</v>
      </c>
      <c r="C30" s="165" t="s">
        <v>9</v>
      </c>
      <c r="D30" s="93">
        <v>1475000</v>
      </c>
      <c r="E30" s="93">
        <v>1475000</v>
      </c>
      <c r="F30" s="93">
        <f t="shared" si="0"/>
        <v>0</v>
      </c>
    </row>
    <row r="31" spans="2:6" ht="15.75" x14ac:dyDescent="0.25">
      <c r="B31" s="1" t="s">
        <v>818</v>
      </c>
      <c r="C31" s="165"/>
      <c r="D31" s="93">
        <v>138900</v>
      </c>
      <c r="E31" s="93">
        <v>138900</v>
      </c>
      <c r="F31" s="93">
        <f t="shared" si="0"/>
        <v>0</v>
      </c>
    </row>
    <row r="32" spans="2:6" ht="15.75" hidden="1" x14ac:dyDescent="0.25">
      <c r="B32" s="1" t="s">
        <v>309</v>
      </c>
      <c r="C32" s="165"/>
      <c r="D32" s="93">
        <v>0</v>
      </c>
      <c r="E32" s="93">
        <v>0</v>
      </c>
      <c r="F32" s="93">
        <f t="shared" si="0"/>
        <v>0</v>
      </c>
    </row>
    <row r="33" spans="2:6" ht="15.75" x14ac:dyDescent="0.25">
      <c r="B33" s="1" t="s">
        <v>347</v>
      </c>
      <c r="C33" s="165"/>
      <c r="D33" s="93">
        <v>913000</v>
      </c>
      <c r="E33" s="93">
        <v>535000</v>
      </c>
      <c r="F33" s="93">
        <f t="shared" si="0"/>
        <v>378000</v>
      </c>
    </row>
    <row r="34" spans="2:6" ht="15.75" x14ac:dyDescent="0.25">
      <c r="B34" s="1" t="s">
        <v>225</v>
      </c>
      <c r="C34" s="165" t="s">
        <v>9</v>
      </c>
      <c r="D34" s="93">
        <v>6555270.4400000004</v>
      </c>
      <c r="E34" s="93">
        <v>6079555.4400000004</v>
      </c>
      <c r="F34" s="93">
        <f t="shared" si="0"/>
        <v>475715</v>
      </c>
    </row>
    <row r="35" spans="2:6" ht="15.75" x14ac:dyDescent="0.25">
      <c r="B35" s="1" t="s">
        <v>819</v>
      </c>
      <c r="C35" s="165"/>
      <c r="D35" s="93">
        <v>404161.51</v>
      </c>
      <c r="E35" s="93">
        <v>366681.55</v>
      </c>
      <c r="F35" s="93">
        <f t="shared" si="0"/>
        <v>37479.960000000021</v>
      </c>
    </row>
    <row r="36" spans="2:6" ht="15.75" x14ac:dyDescent="0.25">
      <c r="B36" s="1" t="s">
        <v>820</v>
      </c>
      <c r="C36" s="165"/>
      <c r="D36" s="93">
        <v>8426451.6099999994</v>
      </c>
      <c r="E36" s="93">
        <v>7726451.6100000003</v>
      </c>
      <c r="F36" s="93">
        <f t="shared" si="0"/>
        <v>699999.99999999907</v>
      </c>
    </row>
    <row r="37" spans="2:6" ht="15.75" x14ac:dyDescent="0.25">
      <c r="B37" s="1" t="s">
        <v>226</v>
      </c>
      <c r="C37" s="165" t="s">
        <v>9</v>
      </c>
      <c r="D37" s="93">
        <v>5716646.5599999996</v>
      </c>
      <c r="E37" s="93">
        <v>5147786.5599999996</v>
      </c>
      <c r="F37" s="93">
        <f t="shared" si="0"/>
        <v>568860</v>
      </c>
    </row>
    <row r="38" spans="2:6" ht="15.75" x14ac:dyDescent="0.25">
      <c r="B38" s="1" t="s">
        <v>821</v>
      </c>
      <c r="C38" s="165"/>
      <c r="D38" s="93">
        <v>10440000</v>
      </c>
      <c r="E38" s="93">
        <v>9570000</v>
      </c>
      <c r="F38" s="93">
        <f t="shared" si="0"/>
        <v>870000</v>
      </c>
    </row>
    <row r="39" spans="2:6" ht="15.75" x14ac:dyDescent="0.25">
      <c r="B39" s="1" t="s">
        <v>227</v>
      </c>
      <c r="C39" s="165"/>
      <c r="D39" s="93">
        <v>605930</v>
      </c>
      <c r="E39" s="93">
        <v>561680</v>
      </c>
      <c r="F39" s="93">
        <f t="shared" si="0"/>
        <v>44250</v>
      </c>
    </row>
    <row r="40" spans="2:6" ht="15.75" x14ac:dyDescent="0.25">
      <c r="B40" s="1" t="s">
        <v>480</v>
      </c>
      <c r="C40" s="165"/>
      <c r="D40" s="93">
        <v>310000</v>
      </c>
      <c r="E40" s="93">
        <v>240000</v>
      </c>
      <c r="F40" s="93">
        <f t="shared" si="0"/>
        <v>70000</v>
      </c>
    </row>
    <row r="41" spans="2:6" ht="15.75" x14ac:dyDescent="0.25">
      <c r="B41" s="1" t="s">
        <v>481</v>
      </c>
      <c r="C41" s="165"/>
      <c r="D41" s="93">
        <v>260662.39999999999</v>
      </c>
      <c r="E41" s="93">
        <v>126165.6</v>
      </c>
      <c r="F41" s="93">
        <f t="shared" si="0"/>
        <v>134496.79999999999</v>
      </c>
    </row>
    <row r="42" spans="2:6" ht="15.75" x14ac:dyDescent="0.25">
      <c r="B42" s="1" t="s">
        <v>69</v>
      </c>
      <c r="C42" s="165" t="s">
        <v>9</v>
      </c>
      <c r="D42" s="93">
        <v>9340925.9199999999</v>
      </c>
      <c r="E42" s="93">
        <v>8597644.3100000005</v>
      </c>
      <c r="F42" s="93">
        <f t="shared" si="0"/>
        <v>743281.6099999994</v>
      </c>
    </row>
    <row r="43" spans="2:6" ht="15.75" x14ac:dyDescent="0.25">
      <c r="B43" s="1" t="s">
        <v>71</v>
      </c>
      <c r="C43" s="165" t="s">
        <v>9</v>
      </c>
      <c r="D43" s="93">
        <v>39812348.130000003</v>
      </c>
      <c r="E43" s="93">
        <v>38021977.439999998</v>
      </c>
      <c r="F43" s="93">
        <f t="shared" si="0"/>
        <v>1790370.6900000051</v>
      </c>
    </row>
    <row r="44" spans="2:6" ht="15.75" x14ac:dyDescent="0.25">
      <c r="B44" s="1" t="s">
        <v>70</v>
      </c>
      <c r="C44" s="165" t="s">
        <v>9</v>
      </c>
      <c r="D44" s="93">
        <v>5779590</v>
      </c>
      <c r="E44" s="93">
        <v>5464890</v>
      </c>
      <c r="F44" s="93">
        <f t="shared" si="0"/>
        <v>314700</v>
      </c>
    </row>
    <row r="45" spans="2:6" ht="15.75" x14ac:dyDescent="0.25">
      <c r="B45" s="1" t="s">
        <v>72</v>
      </c>
      <c r="C45" s="165" t="s">
        <v>9</v>
      </c>
      <c r="D45" s="93">
        <v>7180168.0800000001</v>
      </c>
      <c r="E45" s="93">
        <v>6842125.8600000003</v>
      </c>
      <c r="F45" s="93">
        <f t="shared" si="0"/>
        <v>338042.21999999974</v>
      </c>
    </row>
    <row r="46" spans="2:6" ht="15.75" x14ac:dyDescent="0.25">
      <c r="B46" s="1" t="s">
        <v>228</v>
      </c>
      <c r="C46" s="165" t="s">
        <v>9</v>
      </c>
      <c r="D46" s="93">
        <v>45000</v>
      </c>
      <c r="E46" s="93">
        <v>45000</v>
      </c>
      <c r="F46" s="93">
        <f t="shared" si="0"/>
        <v>0</v>
      </c>
    </row>
    <row r="47" spans="2:6" ht="15.75" x14ac:dyDescent="0.25">
      <c r="B47" s="1" t="s">
        <v>73</v>
      </c>
      <c r="C47" s="165" t="s">
        <v>9</v>
      </c>
      <c r="D47" s="93">
        <f>5033375.24-1358818.18</f>
        <v>3674557.0600000005</v>
      </c>
      <c r="E47" s="93">
        <v>3975161.12</v>
      </c>
      <c r="F47" s="93">
        <f t="shared" si="0"/>
        <v>-300604.05999999959</v>
      </c>
    </row>
    <row r="48" spans="2:6" ht="15.75" x14ac:dyDescent="0.25">
      <c r="B48" s="1" t="s">
        <v>822</v>
      </c>
      <c r="C48" s="165" t="s">
        <v>9</v>
      </c>
      <c r="D48" s="93">
        <v>12858446.83</v>
      </c>
      <c r="E48" s="93">
        <v>11732497.65</v>
      </c>
      <c r="F48" s="93">
        <f t="shared" si="0"/>
        <v>1125949.1799999997</v>
      </c>
    </row>
    <row r="49" spans="2:6" ht="12" customHeight="1" x14ac:dyDescent="0.25">
      <c r="C49" s="166" t="s">
        <v>944</v>
      </c>
      <c r="D49" s="93"/>
      <c r="E49" s="93"/>
      <c r="F49" s="93"/>
    </row>
    <row r="50" spans="2:6" ht="15.75" x14ac:dyDescent="0.25">
      <c r="B50" s="10" t="s">
        <v>102</v>
      </c>
      <c r="C50" s="165"/>
      <c r="D50" s="115">
        <f>SUM(D29:D48)</f>
        <v>206419621.22000003</v>
      </c>
      <c r="E50" s="115">
        <f>SUM(E29:E48)</f>
        <v>190778559.82000002</v>
      </c>
      <c r="F50" s="115">
        <f>SUM(F29:F48)</f>
        <v>15641061.400000006</v>
      </c>
    </row>
    <row r="51" spans="2:6" ht="15.75" x14ac:dyDescent="0.25">
      <c r="C51" s="165" t="s">
        <v>9</v>
      </c>
      <c r="D51" s="73"/>
      <c r="E51" s="93"/>
      <c r="F51" s="93"/>
    </row>
    <row r="52" spans="2:6" ht="15.75" x14ac:dyDescent="0.25">
      <c r="C52" s="165" t="s">
        <v>9</v>
      </c>
      <c r="D52" s="73"/>
      <c r="E52" s="93"/>
      <c r="F52" s="93"/>
    </row>
    <row r="53" spans="2:6" ht="15.75" x14ac:dyDescent="0.25">
      <c r="B53" s="10" t="s">
        <v>285</v>
      </c>
      <c r="C53" s="165">
        <v>16</v>
      </c>
      <c r="D53" s="93"/>
      <c r="E53" s="93"/>
      <c r="F53" s="93"/>
    </row>
    <row r="54" spans="2:6" ht="15.75" x14ac:dyDescent="0.25">
      <c r="B54" s="1" t="s">
        <v>229</v>
      </c>
      <c r="C54" s="165" t="s">
        <v>9</v>
      </c>
      <c r="D54" s="73">
        <v>1989482.7</v>
      </c>
      <c r="E54" s="93">
        <v>1840041.39</v>
      </c>
      <c r="F54" s="93">
        <f>D54-E54</f>
        <v>149441.31000000006</v>
      </c>
    </row>
    <row r="55" spans="2:6" ht="15.75" x14ac:dyDescent="0.25">
      <c r="B55" s="1" t="s">
        <v>103</v>
      </c>
      <c r="C55" s="165" t="s">
        <v>9</v>
      </c>
      <c r="D55" s="73">
        <v>2292651.16</v>
      </c>
      <c r="E55" s="93">
        <v>2117398.5</v>
      </c>
      <c r="F55" s="93">
        <f t="shared" ref="F55:F79" si="1">D55-E55</f>
        <v>175252.66000000015</v>
      </c>
    </row>
    <row r="56" spans="2:6" ht="15.75" x14ac:dyDescent="0.25">
      <c r="B56" s="1" t="s">
        <v>104</v>
      </c>
      <c r="C56" s="165" t="s">
        <v>9</v>
      </c>
      <c r="D56" s="2">
        <v>4110352.55</v>
      </c>
      <c r="E56" s="93">
        <v>3781761.93</v>
      </c>
      <c r="F56" s="93">
        <f t="shared" si="1"/>
        <v>328590.61999999965</v>
      </c>
    </row>
    <row r="57" spans="2:6" ht="15.75" x14ac:dyDescent="0.25">
      <c r="B57" s="1" t="s">
        <v>74</v>
      </c>
      <c r="C57" s="165" t="s">
        <v>9</v>
      </c>
      <c r="D57" s="73">
        <v>104529.05</v>
      </c>
      <c r="E57" s="93">
        <v>95603.89</v>
      </c>
      <c r="F57" s="93">
        <f t="shared" si="1"/>
        <v>8925.1600000000035</v>
      </c>
    </row>
    <row r="58" spans="2:6" ht="15.75" x14ac:dyDescent="0.25">
      <c r="B58" s="1" t="s">
        <v>75</v>
      </c>
      <c r="C58" s="165" t="s">
        <v>9</v>
      </c>
      <c r="D58" s="73">
        <v>392430.57</v>
      </c>
      <c r="E58" s="93">
        <v>395817.88</v>
      </c>
      <c r="F58" s="93">
        <f t="shared" si="1"/>
        <v>-3387.3099999999977</v>
      </c>
    </row>
    <row r="59" spans="2:6" ht="15.75" x14ac:dyDescent="0.25">
      <c r="B59" s="1" t="s">
        <v>230</v>
      </c>
      <c r="C59" s="165" t="s">
        <v>9</v>
      </c>
      <c r="D59" s="73">
        <v>48321.48</v>
      </c>
      <c r="E59" s="93">
        <v>43607.19</v>
      </c>
      <c r="F59" s="93">
        <f t="shared" si="1"/>
        <v>4714.2900000000009</v>
      </c>
    </row>
    <row r="60" spans="2:6" ht="15.75" x14ac:dyDescent="0.25">
      <c r="B60" s="1" t="s">
        <v>849</v>
      </c>
      <c r="C60" s="165"/>
      <c r="D60" s="73">
        <v>87320</v>
      </c>
      <c r="E60" s="93">
        <v>87320</v>
      </c>
      <c r="F60" s="93">
        <f t="shared" si="1"/>
        <v>0</v>
      </c>
    </row>
    <row r="61" spans="2:6" ht="15.75" x14ac:dyDescent="0.25">
      <c r="B61" s="1" t="s">
        <v>850</v>
      </c>
      <c r="C61" s="165" t="s">
        <v>9</v>
      </c>
      <c r="D61" s="73">
        <v>25647.75</v>
      </c>
      <c r="E61" s="93">
        <v>24942.75</v>
      </c>
      <c r="F61" s="93">
        <f t="shared" si="1"/>
        <v>705</v>
      </c>
    </row>
    <row r="62" spans="2:6" ht="15.75" x14ac:dyDescent="0.25">
      <c r="B62" s="1" t="s">
        <v>231</v>
      </c>
      <c r="C62" s="165"/>
      <c r="D62" s="73">
        <v>401074.15</v>
      </c>
      <c r="E62" s="93">
        <v>397524.15</v>
      </c>
      <c r="F62" s="93">
        <f t="shared" si="1"/>
        <v>3550</v>
      </c>
    </row>
    <row r="63" spans="2:6" ht="15.75" x14ac:dyDescent="0.25">
      <c r="B63" s="1" t="s">
        <v>877</v>
      </c>
      <c r="C63" s="165"/>
      <c r="D63" s="73">
        <v>263392.12</v>
      </c>
      <c r="E63" s="93">
        <v>263392.12</v>
      </c>
      <c r="F63" s="93">
        <f t="shared" si="1"/>
        <v>0</v>
      </c>
    </row>
    <row r="64" spans="2:6" ht="15.75" x14ac:dyDescent="0.25">
      <c r="B64" s="1" t="s">
        <v>76</v>
      </c>
      <c r="C64" s="165"/>
      <c r="D64" s="73">
        <v>2382</v>
      </c>
      <c r="E64" s="93">
        <v>2154</v>
      </c>
      <c r="F64" s="93">
        <f t="shared" si="1"/>
        <v>228</v>
      </c>
    </row>
    <row r="65" spans="2:6" ht="15.75" x14ac:dyDescent="0.25">
      <c r="B65" s="1" t="s">
        <v>823</v>
      </c>
      <c r="C65" s="165"/>
      <c r="D65" s="73">
        <v>74164</v>
      </c>
      <c r="E65" s="93">
        <v>51054</v>
      </c>
      <c r="F65" s="93">
        <f t="shared" si="1"/>
        <v>23110</v>
      </c>
    </row>
    <row r="66" spans="2:6" x14ac:dyDescent="0.2">
      <c r="B66" s="1" t="s">
        <v>824</v>
      </c>
      <c r="D66" s="2">
        <v>2106908.88</v>
      </c>
      <c r="E66" s="2">
        <v>2014965.64</v>
      </c>
      <c r="F66" s="93">
        <f t="shared" si="1"/>
        <v>91943.239999999991</v>
      </c>
    </row>
    <row r="67" spans="2:6" x14ac:dyDescent="0.2">
      <c r="B67" s="1" t="s">
        <v>345</v>
      </c>
      <c r="D67" s="2">
        <v>158200</v>
      </c>
      <c r="E67" s="2">
        <v>158200</v>
      </c>
      <c r="F67" s="93">
        <f t="shared" si="1"/>
        <v>0</v>
      </c>
    </row>
    <row r="68" spans="2:6" ht="15.75" x14ac:dyDescent="0.25">
      <c r="B68" s="1" t="s">
        <v>825</v>
      </c>
      <c r="C68" s="165"/>
      <c r="D68" s="93">
        <v>536911.89</v>
      </c>
      <c r="E68" s="93">
        <v>536911.89</v>
      </c>
      <c r="F68" s="93">
        <f t="shared" si="1"/>
        <v>0</v>
      </c>
    </row>
    <row r="69" spans="2:6" ht="15.75" x14ac:dyDescent="0.25">
      <c r="B69" s="1" t="s">
        <v>77</v>
      </c>
      <c r="C69" s="165" t="s">
        <v>9</v>
      </c>
      <c r="D69" s="93">
        <v>12134880.98</v>
      </c>
      <c r="E69" s="93">
        <v>11417895.01</v>
      </c>
      <c r="F69" s="93">
        <f t="shared" si="1"/>
        <v>716985.97000000067</v>
      </c>
    </row>
    <row r="70" spans="2:6" ht="15.75" x14ac:dyDescent="0.25">
      <c r="B70" s="1" t="s">
        <v>464</v>
      </c>
      <c r="C70" s="165"/>
      <c r="D70" s="93">
        <v>6258054.7699999996</v>
      </c>
      <c r="E70" s="93">
        <v>6258054.7699999996</v>
      </c>
      <c r="F70" s="93">
        <f t="shared" si="1"/>
        <v>0</v>
      </c>
    </row>
    <row r="71" spans="2:6" ht="15.75" x14ac:dyDescent="0.25">
      <c r="B71" s="1" t="s">
        <v>826</v>
      </c>
      <c r="C71" s="165" t="s">
        <v>9</v>
      </c>
      <c r="D71" s="93">
        <v>4337783.76</v>
      </c>
      <c r="E71" s="93">
        <v>3373895.86</v>
      </c>
      <c r="F71" s="93">
        <f t="shared" si="1"/>
        <v>963887.89999999991</v>
      </c>
    </row>
    <row r="72" spans="2:6" ht="15.75" x14ac:dyDescent="0.25">
      <c r="B72" s="1" t="s">
        <v>287</v>
      </c>
      <c r="C72" s="165"/>
      <c r="D72" s="93">
        <v>1210031</v>
      </c>
      <c r="E72" s="93">
        <v>1210031</v>
      </c>
      <c r="F72" s="93">
        <f t="shared" si="1"/>
        <v>0</v>
      </c>
    </row>
    <row r="73" spans="2:6" ht="15.75" x14ac:dyDescent="0.25">
      <c r="B73" s="1" t="s">
        <v>78</v>
      </c>
      <c r="C73" s="165" t="s">
        <v>9</v>
      </c>
      <c r="D73" s="93">
        <v>5950.74</v>
      </c>
      <c r="E73" s="93">
        <v>5500.74</v>
      </c>
      <c r="F73" s="93">
        <f t="shared" si="1"/>
        <v>450</v>
      </c>
    </row>
    <row r="74" spans="2:6" ht="15.75" x14ac:dyDescent="0.25">
      <c r="B74" s="1" t="s">
        <v>411</v>
      </c>
      <c r="C74" s="165"/>
      <c r="D74" s="93">
        <v>273014.24</v>
      </c>
      <c r="E74" s="93">
        <v>273014.24</v>
      </c>
      <c r="F74" s="93">
        <f t="shared" si="1"/>
        <v>0</v>
      </c>
    </row>
    <row r="75" spans="2:6" ht="15.75" x14ac:dyDescent="0.25">
      <c r="B75" s="1" t="s">
        <v>326</v>
      </c>
      <c r="C75" s="165"/>
      <c r="D75" s="93">
        <v>640000</v>
      </c>
      <c r="E75" s="93">
        <v>0</v>
      </c>
      <c r="F75" s="93">
        <f t="shared" si="1"/>
        <v>640000</v>
      </c>
    </row>
    <row r="76" spans="2:6" ht="15.75" x14ac:dyDescent="0.25">
      <c r="B76" s="1" t="s">
        <v>827</v>
      </c>
      <c r="C76" s="406"/>
      <c r="D76" s="2">
        <v>20909590.57</v>
      </c>
      <c r="E76" s="93">
        <v>17571191.030000001</v>
      </c>
      <c r="F76" s="93">
        <f t="shared" si="1"/>
        <v>3338399.5399999991</v>
      </c>
    </row>
    <row r="77" spans="2:6" ht="15.75" x14ac:dyDescent="0.25">
      <c r="B77" s="1" t="s">
        <v>79</v>
      </c>
      <c r="C77" s="284"/>
      <c r="D77" s="73">
        <f>283170852.23+60000</f>
        <v>283230852.23000002</v>
      </c>
      <c r="E77" s="93">
        <v>276853867.99000001</v>
      </c>
      <c r="F77" s="93">
        <f t="shared" si="1"/>
        <v>6376984.2400000095</v>
      </c>
    </row>
    <row r="78" spans="2:6" ht="15.75" x14ac:dyDescent="0.25">
      <c r="B78" s="1" t="s">
        <v>482</v>
      </c>
      <c r="C78" s="165"/>
      <c r="D78" s="2">
        <v>5476512.3300000001</v>
      </c>
      <c r="E78" s="93">
        <v>5476512.3300000001</v>
      </c>
      <c r="F78" s="93">
        <f t="shared" si="1"/>
        <v>0</v>
      </c>
    </row>
    <row r="79" spans="2:6" ht="15.75" x14ac:dyDescent="0.25">
      <c r="B79" s="1" t="s">
        <v>325</v>
      </c>
      <c r="C79" s="165"/>
      <c r="D79" s="2">
        <v>2285</v>
      </c>
      <c r="E79" s="93">
        <v>2285</v>
      </c>
      <c r="F79" s="93">
        <f t="shared" si="1"/>
        <v>0</v>
      </c>
    </row>
    <row r="80" spans="2:6" ht="15.75" x14ac:dyDescent="0.25">
      <c r="C80" s="166" t="s">
        <v>944</v>
      </c>
      <c r="D80" s="93"/>
      <c r="E80" s="93"/>
      <c r="F80" s="93"/>
    </row>
    <row r="81" spans="2:6" ht="15.75" x14ac:dyDescent="0.25">
      <c r="B81" s="10" t="s">
        <v>105</v>
      </c>
      <c r="C81" s="165" t="s">
        <v>9</v>
      </c>
      <c r="D81" s="115">
        <f>SUM(D54:D79)</f>
        <v>347072723.92000002</v>
      </c>
      <c r="E81" s="115">
        <f>SUM(E54:E79)</f>
        <v>334252943.30000001</v>
      </c>
      <c r="F81" s="115">
        <f>SUM(F54:F79)</f>
        <v>12819780.620000008</v>
      </c>
    </row>
    <row r="82" spans="2:6" ht="15.75" x14ac:dyDescent="0.25">
      <c r="C82" s="165" t="s">
        <v>9</v>
      </c>
      <c r="D82" s="93"/>
      <c r="E82" s="93"/>
      <c r="F82" s="93"/>
    </row>
    <row r="83" spans="2:6" ht="15.75" x14ac:dyDescent="0.25">
      <c r="C83" s="165" t="s">
        <v>9</v>
      </c>
      <c r="D83" s="93"/>
      <c r="E83" s="93"/>
      <c r="F83" s="93"/>
    </row>
    <row r="84" spans="2:6" ht="15.75" x14ac:dyDescent="0.25">
      <c r="B84" s="10" t="s">
        <v>286</v>
      </c>
      <c r="C84" s="165">
        <v>17</v>
      </c>
      <c r="D84" s="93"/>
      <c r="E84" s="93"/>
      <c r="F84" s="93"/>
    </row>
    <row r="85" spans="2:6" ht="15.75" x14ac:dyDescent="0.25">
      <c r="B85" s="1" t="s">
        <v>106</v>
      </c>
      <c r="C85" s="165" t="s">
        <v>9</v>
      </c>
      <c r="D85" s="73">
        <v>1559949.86</v>
      </c>
      <c r="E85" s="93">
        <v>1504877.88</v>
      </c>
      <c r="F85" s="93">
        <f>D85-E85</f>
        <v>55071.980000000214</v>
      </c>
    </row>
    <row r="86" spans="2:6" ht="15.75" x14ac:dyDescent="0.25">
      <c r="B86" s="1" t="s">
        <v>410</v>
      </c>
      <c r="C86" s="165"/>
      <c r="D86" s="73">
        <v>11328</v>
      </c>
      <c r="E86" s="93">
        <v>11328</v>
      </c>
      <c r="F86" s="93">
        <f t="shared" ref="F86:F103" si="2">D86-E86</f>
        <v>0</v>
      </c>
    </row>
    <row r="87" spans="2:6" ht="15.75" x14ac:dyDescent="0.25">
      <c r="B87" s="1" t="s">
        <v>80</v>
      </c>
      <c r="C87" s="165" t="s">
        <v>9</v>
      </c>
      <c r="D87" s="73">
        <v>0</v>
      </c>
      <c r="E87" s="93">
        <v>0</v>
      </c>
      <c r="F87" s="93">
        <f t="shared" si="2"/>
        <v>0</v>
      </c>
    </row>
    <row r="88" spans="2:6" ht="15.75" x14ac:dyDescent="0.25">
      <c r="B88" s="1" t="s">
        <v>828</v>
      </c>
      <c r="C88" s="165" t="s">
        <v>9</v>
      </c>
      <c r="D88" s="73">
        <v>186608.1</v>
      </c>
      <c r="E88" s="93">
        <v>185956.21</v>
      </c>
      <c r="F88" s="93">
        <f t="shared" si="2"/>
        <v>651.89000000001397</v>
      </c>
    </row>
    <row r="89" spans="2:6" ht="15.75" x14ac:dyDescent="0.25">
      <c r="B89" s="1" t="s">
        <v>483</v>
      </c>
      <c r="C89" s="165"/>
      <c r="D89" s="73">
        <v>0</v>
      </c>
      <c r="E89" s="93">
        <v>0</v>
      </c>
      <c r="F89" s="93">
        <f t="shared" si="2"/>
        <v>0</v>
      </c>
    </row>
    <row r="90" spans="2:6" ht="15.75" x14ac:dyDescent="0.25">
      <c r="B90" s="1" t="s">
        <v>232</v>
      </c>
      <c r="C90" s="165" t="s">
        <v>9</v>
      </c>
      <c r="D90" s="73">
        <v>12900</v>
      </c>
      <c r="E90" s="93">
        <v>12400</v>
      </c>
      <c r="F90" s="93">
        <f t="shared" si="2"/>
        <v>500</v>
      </c>
    </row>
    <row r="91" spans="2:6" ht="15.75" x14ac:dyDescent="0.25">
      <c r="B91" s="1" t="s">
        <v>81</v>
      </c>
      <c r="C91" s="165" t="s">
        <v>9</v>
      </c>
      <c r="D91" s="73">
        <v>7813016.1200000001</v>
      </c>
      <c r="E91" s="93">
        <v>7119996.1200000001</v>
      </c>
      <c r="F91" s="93">
        <f t="shared" si="2"/>
        <v>693020</v>
      </c>
    </row>
    <row r="92" spans="2:6" ht="15.75" x14ac:dyDescent="0.25">
      <c r="B92" s="1" t="s">
        <v>346</v>
      </c>
      <c r="C92" s="165"/>
      <c r="D92" s="73">
        <v>0</v>
      </c>
      <c r="E92" s="93">
        <v>0</v>
      </c>
      <c r="F92" s="93">
        <f t="shared" si="2"/>
        <v>0</v>
      </c>
    </row>
    <row r="93" spans="2:6" ht="15.75" x14ac:dyDescent="0.25">
      <c r="B93" s="1" t="s">
        <v>310</v>
      </c>
      <c r="C93" s="165"/>
      <c r="D93" s="73">
        <v>318999.96000000002</v>
      </c>
      <c r="E93" s="93">
        <v>318999.96000000002</v>
      </c>
      <c r="F93" s="93">
        <f t="shared" si="2"/>
        <v>0</v>
      </c>
    </row>
    <row r="94" spans="2:6" ht="15.75" x14ac:dyDescent="0.25">
      <c r="B94" s="1" t="s">
        <v>82</v>
      </c>
      <c r="C94" s="165" t="s">
        <v>9</v>
      </c>
      <c r="D94" s="73">
        <v>86880.35</v>
      </c>
      <c r="E94" s="93">
        <v>77167.08</v>
      </c>
      <c r="F94" s="93">
        <f t="shared" si="2"/>
        <v>9713.2700000000041</v>
      </c>
    </row>
    <row r="95" spans="2:6" ht="15.75" x14ac:dyDescent="0.25">
      <c r="B95" s="1" t="s">
        <v>484</v>
      </c>
      <c r="C95" s="165" t="s">
        <v>9</v>
      </c>
      <c r="D95" s="73">
        <v>365487.86</v>
      </c>
      <c r="E95" s="93">
        <v>328673.36</v>
      </c>
      <c r="F95" s="93">
        <f t="shared" si="2"/>
        <v>36814.5</v>
      </c>
    </row>
    <row r="96" spans="2:6" ht="15.75" x14ac:dyDescent="0.25">
      <c r="B96" s="1" t="s">
        <v>234</v>
      </c>
      <c r="C96" s="165" t="s">
        <v>9</v>
      </c>
      <c r="D96" s="73">
        <v>367575.1</v>
      </c>
      <c r="E96" s="93">
        <v>287826.40000000002</v>
      </c>
      <c r="F96" s="93">
        <f t="shared" si="2"/>
        <v>79748.699999999953</v>
      </c>
    </row>
    <row r="97" spans="2:6" ht="15.75" x14ac:dyDescent="0.25">
      <c r="B97" s="1" t="s">
        <v>233</v>
      </c>
      <c r="C97" s="165" t="s">
        <v>9</v>
      </c>
      <c r="D97" s="73">
        <v>256074.8</v>
      </c>
      <c r="E97" s="93">
        <v>241726.45</v>
      </c>
      <c r="F97" s="93">
        <f t="shared" si="2"/>
        <v>14348.349999999977</v>
      </c>
    </row>
    <row r="98" spans="2:6" ht="15.75" x14ac:dyDescent="0.25">
      <c r="B98" s="1" t="s">
        <v>235</v>
      </c>
      <c r="C98" s="165" t="s">
        <v>9</v>
      </c>
      <c r="D98" s="2">
        <v>1177400.05</v>
      </c>
      <c r="E98" s="93">
        <v>1075767.76</v>
      </c>
      <c r="F98" s="93">
        <f t="shared" si="2"/>
        <v>101632.29000000004</v>
      </c>
    </row>
    <row r="99" spans="2:6" ht="15.75" x14ac:dyDescent="0.25">
      <c r="B99" s="1" t="s">
        <v>236</v>
      </c>
      <c r="C99" s="165" t="s">
        <v>9</v>
      </c>
      <c r="D99" s="73">
        <v>6401750.9100000001</v>
      </c>
      <c r="E99" s="93">
        <v>5856496.7699999996</v>
      </c>
      <c r="F99" s="93">
        <f t="shared" si="2"/>
        <v>545254.1400000006</v>
      </c>
    </row>
    <row r="100" spans="2:6" ht="15.75" x14ac:dyDescent="0.25">
      <c r="B100" s="1" t="s">
        <v>754</v>
      </c>
      <c r="C100" s="165"/>
      <c r="D100" s="73">
        <v>409590.64</v>
      </c>
      <c r="E100" s="93">
        <v>307192.98</v>
      </c>
      <c r="F100" s="93">
        <f t="shared" si="2"/>
        <v>102397.66000000003</v>
      </c>
    </row>
    <row r="101" spans="2:6" ht="15.75" x14ac:dyDescent="0.25">
      <c r="B101" s="1" t="s">
        <v>107</v>
      </c>
      <c r="C101" s="165" t="s">
        <v>9</v>
      </c>
      <c r="D101" s="73">
        <v>3330515.51</v>
      </c>
      <c r="E101" s="93">
        <v>2907896.74</v>
      </c>
      <c r="F101" s="93">
        <f t="shared" si="2"/>
        <v>422618.76999999955</v>
      </c>
    </row>
    <row r="102" spans="2:6" ht="15.75" x14ac:dyDescent="0.25">
      <c r="B102" s="1" t="s">
        <v>237</v>
      </c>
      <c r="C102" s="165" t="s">
        <v>9</v>
      </c>
      <c r="D102" s="73">
        <v>331866.27</v>
      </c>
      <c r="E102" s="93">
        <v>313195.49</v>
      </c>
      <c r="F102" s="93">
        <f t="shared" si="2"/>
        <v>18670.780000000028</v>
      </c>
    </row>
    <row r="103" spans="2:6" ht="15.75" x14ac:dyDescent="0.25">
      <c r="B103" s="1" t="s">
        <v>331</v>
      </c>
      <c r="C103" s="165"/>
      <c r="D103" s="73">
        <v>200765.4</v>
      </c>
      <c r="E103" s="93">
        <v>184034.95</v>
      </c>
      <c r="F103" s="93">
        <f t="shared" si="2"/>
        <v>16730.449999999983</v>
      </c>
    </row>
    <row r="104" spans="2:6" ht="12" customHeight="1" x14ac:dyDescent="0.25">
      <c r="C104" s="166" t="s">
        <v>944</v>
      </c>
      <c r="D104" s="93"/>
      <c r="E104" s="93"/>
      <c r="F104" s="93"/>
    </row>
    <row r="105" spans="2:6" ht="15.75" x14ac:dyDescent="0.25">
      <c r="B105" s="10" t="s">
        <v>108</v>
      </c>
      <c r="C105" s="165" t="s">
        <v>9</v>
      </c>
      <c r="D105" s="115">
        <f>SUM(D85:D103)</f>
        <v>22830708.929999996</v>
      </c>
      <c r="E105" s="115">
        <f>SUM(E85:E103)</f>
        <v>20733536.149999999</v>
      </c>
      <c r="F105" s="115">
        <f>SUM(F85:F103)</f>
        <v>2097172.7800000003</v>
      </c>
    </row>
    <row r="106" spans="2:6" ht="15.75" x14ac:dyDescent="0.25">
      <c r="C106" s="165" t="s">
        <v>9</v>
      </c>
      <c r="D106" s="93"/>
      <c r="E106" s="18"/>
      <c r="F106" s="93"/>
    </row>
    <row r="107" spans="2:6" ht="15.75" x14ac:dyDescent="0.25">
      <c r="C107" s="165" t="s">
        <v>9</v>
      </c>
      <c r="D107" s="73"/>
      <c r="E107" s="93"/>
      <c r="F107" s="93"/>
    </row>
    <row r="108" spans="2:6" ht="15.75" x14ac:dyDescent="0.25">
      <c r="B108" s="10" t="s">
        <v>223</v>
      </c>
      <c r="C108" s="165">
        <v>18</v>
      </c>
      <c r="D108" s="93"/>
      <c r="E108" s="93"/>
      <c r="F108" s="93"/>
    </row>
    <row r="109" spans="2:6" ht="15.75" x14ac:dyDescent="0.25">
      <c r="B109" s="1" t="s">
        <v>83</v>
      </c>
      <c r="C109" s="165" t="s">
        <v>9</v>
      </c>
      <c r="D109" s="221">
        <v>3273452.55</v>
      </c>
      <c r="E109" s="2">
        <v>3271952.55</v>
      </c>
      <c r="F109" s="93">
        <f t="shared" ref="F109:F116" si="3">D109-E109</f>
        <v>1500</v>
      </c>
    </row>
    <row r="110" spans="2:6" ht="15.75" x14ac:dyDescent="0.25">
      <c r="B110" s="1" t="s">
        <v>319</v>
      </c>
      <c r="C110" s="165"/>
      <c r="D110" s="221">
        <f>385032.82+1586185.71</f>
        <v>1971218.53</v>
      </c>
      <c r="E110" s="2">
        <v>1971218.53</v>
      </c>
      <c r="F110" s="93">
        <f t="shared" si="3"/>
        <v>0</v>
      </c>
    </row>
    <row r="111" spans="2:6" ht="15.75" x14ac:dyDescent="0.25">
      <c r="B111" s="1" t="s">
        <v>947</v>
      </c>
      <c r="C111" s="165"/>
      <c r="D111" s="73">
        <v>3000000000</v>
      </c>
      <c r="E111" s="93">
        <v>2500000000</v>
      </c>
      <c r="F111" s="93">
        <f t="shared" si="3"/>
        <v>500000000</v>
      </c>
    </row>
    <row r="112" spans="2:6" ht="15.75" x14ac:dyDescent="0.25">
      <c r="B112" s="1" t="s">
        <v>948</v>
      </c>
      <c r="C112" s="165"/>
      <c r="D112" s="73">
        <v>64892010.280000001</v>
      </c>
      <c r="E112" s="93">
        <v>48827810.109999999</v>
      </c>
      <c r="F112" s="93">
        <f t="shared" si="3"/>
        <v>16064200.170000002</v>
      </c>
    </row>
    <row r="113" spans="2:6" ht="15.75" x14ac:dyDescent="0.25">
      <c r="B113" s="1" t="s">
        <v>485</v>
      </c>
      <c r="C113" s="165"/>
      <c r="D113" s="73">
        <v>5308455.45</v>
      </c>
      <c r="E113" s="93">
        <v>4526744.05</v>
      </c>
      <c r="F113" s="93">
        <f t="shared" si="3"/>
        <v>781711.40000000037</v>
      </c>
    </row>
    <row r="114" spans="2:6" ht="15.75" x14ac:dyDescent="0.25">
      <c r="B114" s="1" t="s">
        <v>304</v>
      </c>
      <c r="C114" s="165"/>
      <c r="D114" s="73">
        <v>625812.64</v>
      </c>
      <c r="E114" s="93">
        <v>625812.64</v>
      </c>
      <c r="F114" s="93">
        <f t="shared" si="3"/>
        <v>0</v>
      </c>
    </row>
    <row r="115" spans="2:6" ht="15.75" x14ac:dyDescent="0.25">
      <c r="B115" s="1" t="s">
        <v>707</v>
      </c>
      <c r="C115" s="165"/>
      <c r="D115" s="73">
        <v>8459077.2699999996</v>
      </c>
      <c r="E115" s="93">
        <v>167421.35</v>
      </c>
      <c r="F115" s="93">
        <f t="shared" si="3"/>
        <v>8291655.9199999999</v>
      </c>
    </row>
    <row r="116" spans="2:6" ht="15.75" x14ac:dyDescent="0.25">
      <c r="B116" s="1" t="s">
        <v>311</v>
      </c>
      <c r="C116" s="165"/>
      <c r="D116" s="73">
        <v>180000000</v>
      </c>
      <c r="E116" s="93">
        <v>180000000</v>
      </c>
      <c r="F116" s="93">
        <f t="shared" si="3"/>
        <v>0</v>
      </c>
    </row>
    <row r="117" spans="2:6" ht="15.75" x14ac:dyDescent="0.25">
      <c r="C117" s="166" t="s">
        <v>944</v>
      </c>
      <c r="D117" s="93"/>
      <c r="E117" s="93"/>
      <c r="F117" s="93"/>
    </row>
    <row r="118" spans="2:6" ht="15.75" x14ac:dyDescent="0.25">
      <c r="B118" s="10" t="s">
        <v>109</v>
      </c>
      <c r="C118" s="165" t="s">
        <v>9</v>
      </c>
      <c r="D118" s="115">
        <f>SUM(D109:D117)</f>
        <v>3264530026.7199998</v>
      </c>
      <c r="E118" s="115">
        <f>SUM(E109:E117)</f>
        <v>2739390959.23</v>
      </c>
      <c r="F118" s="115">
        <f>SUM(F109:F117)</f>
        <v>525139067.49000001</v>
      </c>
    </row>
    <row r="119" spans="2:6" ht="15.75" x14ac:dyDescent="0.25">
      <c r="C119" s="165" t="s">
        <v>9</v>
      </c>
      <c r="D119" s="93"/>
      <c r="E119" s="93"/>
      <c r="F119" s="93"/>
    </row>
    <row r="120" spans="2:6" ht="15.75" x14ac:dyDescent="0.25">
      <c r="C120" s="165" t="s">
        <v>9</v>
      </c>
      <c r="D120" s="18"/>
      <c r="E120" s="93"/>
      <c r="F120" s="93"/>
    </row>
    <row r="121" spans="2:6" ht="15.75" x14ac:dyDescent="0.25">
      <c r="B121" s="10" t="s">
        <v>284</v>
      </c>
      <c r="C121" s="165">
        <v>19</v>
      </c>
      <c r="D121" s="93"/>
      <c r="E121" s="93"/>
      <c r="F121" s="93"/>
    </row>
    <row r="122" spans="2:6" ht="15.75" x14ac:dyDescent="0.25">
      <c r="B122" s="1" t="s">
        <v>946</v>
      </c>
      <c r="C122" s="165" t="s">
        <v>9</v>
      </c>
      <c r="D122" s="73">
        <v>-24658975.149999999</v>
      </c>
      <c r="E122" s="93">
        <v>-24658975.149999999</v>
      </c>
      <c r="F122" s="93">
        <f>D122-E122</f>
        <v>0</v>
      </c>
    </row>
    <row r="123" spans="2:6" s="68" customFormat="1" ht="15.75" x14ac:dyDescent="0.25">
      <c r="B123" s="68" t="s">
        <v>945</v>
      </c>
      <c r="C123" s="165" t="s">
        <v>9</v>
      </c>
      <c r="D123" s="93">
        <v>29886179.370000001</v>
      </c>
      <c r="E123" s="93">
        <v>29885471.940000001</v>
      </c>
      <c r="F123" s="93">
        <f>D123-E123</f>
        <v>707.42999999970198</v>
      </c>
    </row>
    <row r="124" spans="2:6" ht="15.75" x14ac:dyDescent="0.25">
      <c r="B124" s="6"/>
      <c r="C124" s="166" t="s">
        <v>944</v>
      </c>
      <c r="D124" s="93"/>
      <c r="E124" s="93"/>
      <c r="F124" s="93"/>
    </row>
    <row r="125" spans="2:6" ht="36.75" customHeight="1" x14ac:dyDescent="0.25">
      <c r="B125" s="167" t="s">
        <v>292</v>
      </c>
      <c r="C125" s="165" t="s">
        <v>9</v>
      </c>
      <c r="D125" s="115">
        <f>SUM(D122:D123)</f>
        <v>5227204.2200000025</v>
      </c>
      <c r="E125" s="115">
        <f>SUM(E122:E123)</f>
        <v>5226496.7900000028</v>
      </c>
      <c r="F125" s="115">
        <f>SUM(F122:F123)</f>
        <v>707.42999999970198</v>
      </c>
    </row>
    <row r="126" spans="2:6" ht="15.75" x14ac:dyDescent="0.25">
      <c r="C126" s="165" t="s">
        <v>9</v>
      </c>
      <c r="D126" s="93"/>
      <c r="E126" s="93"/>
      <c r="F126" s="93"/>
    </row>
    <row r="127" spans="2:6" ht="15.75" x14ac:dyDescent="0.25">
      <c r="C127" s="165"/>
      <c r="D127" s="73"/>
      <c r="E127" s="93"/>
      <c r="F127" s="93"/>
    </row>
    <row r="128" spans="2:6" ht="15.75" x14ac:dyDescent="0.25">
      <c r="C128" s="165"/>
      <c r="E128" s="93"/>
      <c r="F128" s="93"/>
    </row>
    <row r="129" spans="3:6" ht="15.75" x14ac:dyDescent="0.25">
      <c r="C129" s="165"/>
      <c r="D129" s="93"/>
      <c r="E129" s="93"/>
      <c r="F129" s="93"/>
    </row>
    <row r="130" spans="3:6" ht="15.75" x14ac:dyDescent="0.25">
      <c r="C130" s="165"/>
      <c r="D130" s="93"/>
      <c r="E130" s="93"/>
      <c r="F130" s="93"/>
    </row>
    <row r="131" spans="3:6" ht="15.75" x14ac:dyDescent="0.25">
      <c r="C131" s="165"/>
      <c r="D131" s="93"/>
      <c r="E131" s="93"/>
      <c r="F131" s="93"/>
    </row>
    <row r="132" spans="3:6" ht="15.75" x14ac:dyDescent="0.25">
      <c r="C132" s="165"/>
      <c r="D132" s="93"/>
      <c r="E132" s="93"/>
      <c r="F132" s="93"/>
    </row>
    <row r="133" spans="3:6" ht="15.75" x14ac:dyDescent="0.25">
      <c r="C133" s="165"/>
      <c r="D133" s="93"/>
      <c r="E133" s="93"/>
      <c r="F133" s="93"/>
    </row>
    <row r="134" spans="3:6" ht="15.75" x14ac:dyDescent="0.25">
      <c r="C134" s="165"/>
      <c r="D134" s="93"/>
      <c r="E134" s="93"/>
      <c r="F134" s="93"/>
    </row>
    <row r="135" spans="3:6" ht="15.75" x14ac:dyDescent="0.25">
      <c r="C135" s="165"/>
      <c r="D135" s="93"/>
      <c r="E135" s="93"/>
      <c r="F135" s="93"/>
    </row>
    <row r="136" spans="3:6" ht="15.75" x14ac:dyDescent="0.25">
      <c r="C136" s="165"/>
      <c r="D136" s="93"/>
      <c r="E136" s="93"/>
      <c r="F136" s="93"/>
    </row>
    <row r="137" spans="3:6" ht="15.75" x14ac:dyDescent="0.25">
      <c r="C137" s="165"/>
      <c r="D137" s="93"/>
      <c r="E137" s="93"/>
      <c r="F137" s="93"/>
    </row>
    <row r="138" spans="3:6" ht="15.75" x14ac:dyDescent="0.25">
      <c r="C138" s="165"/>
      <c r="D138" s="93"/>
      <c r="E138" s="93"/>
      <c r="F138" s="93"/>
    </row>
    <row r="139" spans="3:6" ht="15.75" x14ac:dyDescent="0.25">
      <c r="C139" s="165"/>
      <c r="D139" s="93"/>
      <c r="E139" s="93"/>
      <c r="F139" s="93"/>
    </row>
    <row r="140" spans="3:6" ht="15.75" x14ac:dyDescent="0.25">
      <c r="C140" s="165"/>
      <c r="D140" s="93"/>
      <c r="E140" s="93"/>
      <c r="F140" s="93"/>
    </row>
    <row r="141" spans="3:6" ht="15.75" x14ac:dyDescent="0.25">
      <c r="C141" s="165"/>
      <c r="D141" s="93"/>
      <c r="E141" s="93"/>
      <c r="F141" s="93"/>
    </row>
    <row r="142" spans="3:6" ht="15.75" x14ac:dyDescent="0.25">
      <c r="C142" s="165"/>
      <c r="D142" s="93"/>
      <c r="E142" s="93"/>
      <c r="F142" s="93"/>
    </row>
    <row r="143" spans="3:6" ht="15.75" x14ac:dyDescent="0.25">
      <c r="C143" s="165"/>
      <c r="D143" s="93"/>
      <c r="E143" s="93"/>
      <c r="F143" s="93"/>
    </row>
    <row r="144" spans="3:6" ht="15.75" x14ac:dyDescent="0.25">
      <c r="C144" s="165"/>
      <c r="D144" s="93"/>
      <c r="E144" s="93"/>
      <c r="F144" s="93"/>
    </row>
    <row r="145" spans="3:6" ht="15.75" x14ac:dyDescent="0.25">
      <c r="C145" s="165"/>
      <c r="D145" s="93"/>
      <c r="E145" s="93"/>
      <c r="F145" s="93"/>
    </row>
    <row r="146" spans="3:6" ht="15.75" x14ac:dyDescent="0.25">
      <c r="C146" s="165"/>
      <c r="D146" s="93"/>
      <c r="E146" s="93"/>
      <c r="F146" s="93"/>
    </row>
    <row r="147" spans="3:6" ht="15.75" x14ac:dyDescent="0.25">
      <c r="C147" s="165"/>
      <c r="D147" s="93"/>
      <c r="E147" s="93"/>
      <c r="F147" s="93"/>
    </row>
    <row r="148" spans="3:6" ht="15.75" x14ac:dyDescent="0.25">
      <c r="C148" s="165"/>
      <c r="D148" s="93"/>
      <c r="E148" s="93"/>
      <c r="F148" s="93"/>
    </row>
    <row r="149" spans="3:6" ht="15.75" x14ac:dyDescent="0.25">
      <c r="C149" s="165"/>
      <c r="D149" s="93"/>
      <c r="E149" s="93"/>
      <c r="F149" s="93"/>
    </row>
    <row r="150" spans="3:6" ht="15.75" x14ac:dyDescent="0.25">
      <c r="C150" s="165"/>
      <c r="D150" s="93"/>
      <c r="E150" s="93"/>
      <c r="F150" s="93"/>
    </row>
    <row r="151" spans="3:6" ht="15.75" x14ac:dyDescent="0.25">
      <c r="C151" s="165"/>
      <c r="D151" s="93"/>
      <c r="E151" s="93"/>
      <c r="F151" s="93"/>
    </row>
    <row r="152" spans="3:6" ht="15.75" x14ac:dyDescent="0.25">
      <c r="C152" s="165"/>
      <c r="D152" s="93"/>
      <c r="E152" s="93"/>
      <c r="F152" s="93"/>
    </row>
    <row r="153" spans="3:6" ht="15.75" x14ac:dyDescent="0.25">
      <c r="C153" s="165"/>
      <c r="D153" s="93"/>
      <c r="E153" s="93"/>
      <c r="F153" s="93"/>
    </row>
    <row r="154" spans="3:6" ht="15.75" x14ac:dyDescent="0.25">
      <c r="C154" s="165"/>
      <c r="D154" s="93"/>
      <c r="E154" s="93"/>
      <c r="F154" s="93"/>
    </row>
    <row r="155" spans="3:6" ht="15.75" x14ac:dyDescent="0.25">
      <c r="C155" s="165"/>
      <c r="D155" s="93"/>
      <c r="E155" s="93"/>
      <c r="F155" s="93"/>
    </row>
    <row r="156" spans="3:6" ht="15.75" x14ac:dyDescent="0.25">
      <c r="C156" s="165"/>
      <c r="D156" s="93"/>
      <c r="E156" s="93"/>
      <c r="F156" s="93"/>
    </row>
    <row r="157" spans="3:6" ht="15.75" x14ac:dyDescent="0.25">
      <c r="C157" s="165"/>
      <c r="D157" s="93"/>
      <c r="E157" s="93"/>
      <c r="F157" s="93"/>
    </row>
    <row r="158" spans="3:6" ht="15.75" x14ac:dyDescent="0.25">
      <c r="C158" s="165"/>
      <c r="D158" s="93"/>
      <c r="E158" s="93"/>
      <c r="F158" s="93"/>
    </row>
    <row r="159" spans="3:6" ht="15.75" x14ac:dyDescent="0.25">
      <c r="C159" s="165"/>
      <c r="D159" s="93"/>
      <c r="E159" s="93"/>
      <c r="F159" s="93"/>
    </row>
    <row r="160" spans="3:6" ht="15.75" x14ac:dyDescent="0.25">
      <c r="C160" s="165"/>
      <c r="D160" s="93"/>
      <c r="E160" s="93"/>
      <c r="F160" s="93"/>
    </row>
    <row r="161" spans="3:11" ht="15.75" x14ac:dyDescent="0.25">
      <c r="C161" s="165"/>
      <c r="D161" s="93"/>
      <c r="E161" s="93"/>
      <c r="F161" s="93"/>
    </row>
    <row r="162" spans="3:11" ht="15.75" x14ac:dyDescent="0.25">
      <c r="C162" s="165"/>
      <c r="D162" s="93"/>
      <c r="E162" s="93"/>
      <c r="F162" s="93"/>
    </row>
    <row r="163" spans="3:11" ht="15.75" x14ac:dyDescent="0.25">
      <c r="C163" s="165"/>
      <c r="D163" s="93"/>
      <c r="E163" s="93"/>
      <c r="F163" s="93"/>
    </row>
    <row r="164" spans="3:11" ht="15.75" x14ac:dyDescent="0.25">
      <c r="C164" s="165"/>
      <c r="D164" s="93"/>
      <c r="E164" s="93"/>
      <c r="F164" s="93"/>
    </row>
    <row r="165" spans="3:11" ht="15.75" x14ac:dyDescent="0.25">
      <c r="C165" s="165"/>
      <c r="D165" s="93"/>
      <c r="E165" s="93"/>
      <c r="F165" s="93"/>
    </row>
    <row r="166" spans="3:11" ht="15.75" x14ac:dyDescent="0.25">
      <c r="C166" s="165"/>
      <c r="D166" s="93"/>
      <c r="E166" s="93"/>
      <c r="F166" s="93"/>
    </row>
    <row r="167" spans="3:11" ht="15.75" x14ac:dyDescent="0.25">
      <c r="C167" s="165"/>
      <c r="D167" s="93"/>
      <c r="E167" s="93"/>
      <c r="F167" s="93"/>
    </row>
    <row r="168" spans="3:11" ht="15.75" x14ac:dyDescent="0.25">
      <c r="C168" s="165"/>
      <c r="D168" s="93"/>
      <c r="E168" s="93"/>
      <c r="F168" s="93"/>
    </row>
    <row r="169" spans="3:11" ht="15.75" x14ac:dyDescent="0.25">
      <c r="C169" s="165"/>
      <c r="D169" s="93"/>
      <c r="E169" s="93"/>
      <c r="F169" s="93"/>
    </row>
    <row r="170" spans="3:11" ht="15.75" x14ac:dyDescent="0.25">
      <c r="C170" s="165"/>
      <c r="D170" s="93"/>
      <c r="E170" s="93"/>
      <c r="F170" s="93"/>
    </row>
    <row r="171" spans="3:11" ht="15.75" x14ac:dyDescent="0.25">
      <c r="C171" s="165"/>
      <c r="D171" s="93"/>
      <c r="E171" s="93"/>
      <c r="F171" s="93"/>
    </row>
    <row r="172" spans="3:11" ht="15.75" x14ac:dyDescent="0.25">
      <c r="C172" s="165"/>
      <c r="D172" s="93"/>
      <c r="E172" s="93"/>
      <c r="F172" s="93"/>
      <c r="J172" s="7"/>
    </row>
    <row r="173" spans="3:11" ht="15.75" x14ac:dyDescent="0.25">
      <c r="C173" s="165"/>
      <c r="D173" s="93"/>
      <c r="E173" s="93"/>
      <c r="F173" s="93"/>
    </row>
    <row r="174" spans="3:11" ht="15.75" x14ac:dyDescent="0.25">
      <c r="C174" s="165"/>
      <c r="D174" s="93"/>
      <c r="E174" s="93"/>
      <c r="F174" s="93"/>
      <c r="K174" s="7"/>
    </row>
    <row r="175" spans="3:11" ht="15.75" x14ac:dyDescent="0.25">
      <c r="C175" s="165"/>
      <c r="D175" s="93"/>
      <c r="E175" s="93"/>
      <c r="F175" s="93"/>
    </row>
    <row r="176" spans="3:11" ht="15.75" x14ac:dyDescent="0.25">
      <c r="C176" s="165"/>
      <c r="D176" s="93"/>
      <c r="E176" s="93"/>
      <c r="F176" s="93"/>
    </row>
    <row r="177" spans="3:14" ht="15.75" x14ac:dyDescent="0.25">
      <c r="C177" s="165"/>
      <c r="D177" s="93"/>
      <c r="E177" s="93"/>
      <c r="F177" s="93"/>
    </row>
    <row r="178" spans="3:14" ht="15.75" x14ac:dyDescent="0.25">
      <c r="C178" s="165"/>
      <c r="D178" s="93"/>
      <c r="E178" s="93"/>
      <c r="F178" s="93"/>
      <c r="J178" s="7"/>
    </row>
    <row r="179" spans="3:14" ht="15.75" x14ac:dyDescent="0.25">
      <c r="C179" s="165"/>
      <c r="D179" s="93"/>
      <c r="E179" s="93"/>
      <c r="F179" s="93"/>
    </row>
    <row r="180" spans="3:14" ht="15.75" x14ac:dyDescent="0.25">
      <c r="C180" s="165"/>
      <c r="D180" s="93"/>
      <c r="E180" s="93"/>
      <c r="F180" s="93"/>
      <c r="K180" s="7"/>
    </row>
    <row r="181" spans="3:14" ht="15.75" x14ac:dyDescent="0.25">
      <c r="C181" s="165"/>
      <c r="D181" s="93"/>
      <c r="E181" s="93"/>
      <c r="F181" s="93"/>
      <c r="K181" s="4"/>
    </row>
    <row r="182" spans="3:14" ht="15.75" x14ac:dyDescent="0.25">
      <c r="C182" s="165"/>
      <c r="D182" s="93"/>
      <c r="E182" s="93"/>
      <c r="F182" s="93"/>
    </row>
    <row r="184" spans="3:14" x14ac:dyDescent="0.2">
      <c r="M184" s="168"/>
      <c r="N184" s="168"/>
    </row>
    <row r="185" spans="3:14" x14ac:dyDescent="0.2">
      <c r="L185" s="4"/>
      <c r="M185" s="168"/>
      <c r="N185" s="168"/>
    </row>
    <row r="186" spans="3:14" ht="15.75" x14ac:dyDescent="0.25">
      <c r="L186" s="4"/>
      <c r="M186" s="9"/>
      <c r="N186" s="9"/>
    </row>
    <row r="187" spans="3:14" ht="15.75" x14ac:dyDescent="0.25">
      <c r="L187" s="4"/>
      <c r="M187" s="9"/>
      <c r="N187" s="9"/>
    </row>
    <row r="188" spans="3:14" ht="15.75" x14ac:dyDescent="0.25">
      <c r="L188" s="4"/>
      <c r="M188" s="9"/>
      <c r="N188" s="9"/>
    </row>
    <row r="189" spans="3:14" ht="15.75" x14ac:dyDescent="0.25">
      <c r="L189" s="4"/>
      <c r="M189" s="9"/>
      <c r="N189" s="9"/>
    </row>
    <row r="190" spans="3:14" x14ac:dyDescent="0.2">
      <c r="L190" s="4"/>
    </row>
    <row r="191" spans="3:14" x14ac:dyDescent="0.2">
      <c r="L191" s="4"/>
    </row>
    <row r="192" spans="3:14" x14ac:dyDescent="0.2">
      <c r="L192" s="4"/>
    </row>
    <row r="193" spans="12:12" x14ac:dyDescent="0.2">
      <c r="L193" s="4"/>
    </row>
  </sheetData>
  <pageMargins left="0.51181102362204722" right="0.11811023622047245" top="0.74803149606299213" bottom="0.51181102362204722" header="0.31496062992125984" footer="0.11811023622047245"/>
  <pageSetup scale="56" firstPageNumber="4" fitToHeight="2" orientation="portrait" useFirstPageNumber="1" r:id="rId1"/>
  <headerFooter>
    <oddHeader>&amp;RPágina &amp;P</oddHeader>
  </headerFooter>
  <rowBreaks count="1" manualBreakCount="1">
    <brk id="82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33"/>
  <sheetViews>
    <sheetView zoomScale="90" zoomScaleNormal="90" workbookViewId="0">
      <selection activeCell="B14" sqref="B14"/>
    </sheetView>
  </sheetViews>
  <sheetFormatPr baseColWidth="10" defaultColWidth="11.5703125" defaultRowHeight="24.75" customHeight="1" x14ac:dyDescent="0.2"/>
  <cols>
    <col min="1" max="1" width="7.5703125" style="1" customWidth="1"/>
    <col min="2" max="2" width="43.28515625" style="1" customWidth="1"/>
    <col min="3" max="3" width="19.140625" style="1" bestFit="1" customWidth="1"/>
    <col min="4" max="4" width="22.140625" style="1" customWidth="1"/>
    <col min="5" max="5" width="16" style="2" bestFit="1" customWidth="1"/>
    <col min="6" max="6" width="4.85546875" style="1" customWidth="1"/>
    <col min="7" max="7" width="20.85546875" style="1" customWidth="1"/>
    <col min="8" max="8" width="17.42578125" style="1" bestFit="1" customWidth="1"/>
    <col min="9" max="9" width="8.42578125" style="1" bestFit="1" customWidth="1"/>
    <col min="10" max="10" width="20.5703125" style="1" bestFit="1" customWidth="1"/>
    <col min="11" max="11" width="12.85546875" style="1" bestFit="1" customWidth="1"/>
    <col min="12" max="12" width="16.5703125" style="1" bestFit="1" customWidth="1"/>
    <col min="13" max="16384" width="11.5703125" style="1"/>
  </cols>
  <sheetData>
    <row r="3" spans="2:8" ht="24.75" customHeight="1" x14ac:dyDescent="0.25">
      <c r="B3" s="471" t="s">
        <v>209</v>
      </c>
      <c r="C3" s="471"/>
      <c r="D3" s="471"/>
      <c r="E3" s="263"/>
    </row>
    <row r="4" spans="2:8" ht="24.75" customHeight="1" x14ac:dyDescent="0.25">
      <c r="B4" s="471" t="s">
        <v>208</v>
      </c>
      <c r="C4" s="471"/>
      <c r="D4" s="471"/>
      <c r="E4" s="263"/>
    </row>
    <row r="5" spans="2:8" ht="24.75" customHeight="1" x14ac:dyDescent="0.25">
      <c r="B5" s="471" t="s">
        <v>196</v>
      </c>
      <c r="C5" s="471"/>
      <c r="D5" s="471"/>
      <c r="E5" s="263"/>
    </row>
    <row r="6" spans="2:8" ht="24.75" customHeight="1" x14ac:dyDescent="0.25">
      <c r="B6" s="472">
        <v>45291</v>
      </c>
      <c r="C6" s="472"/>
      <c r="D6" s="472"/>
      <c r="E6" s="263"/>
    </row>
    <row r="7" spans="2:8" ht="24.75" customHeight="1" thickBot="1" x14ac:dyDescent="0.3">
      <c r="B7" s="46"/>
      <c r="C7" s="46"/>
      <c r="D7" s="46"/>
      <c r="E7" s="97"/>
    </row>
    <row r="8" spans="2:8" ht="24.75" customHeight="1" thickBot="1" x14ac:dyDescent="0.3">
      <c r="B8" s="30" t="s">
        <v>221</v>
      </c>
      <c r="C8" s="47" t="s">
        <v>195</v>
      </c>
      <c r="D8" s="31" t="s">
        <v>194</v>
      </c>
    </row>
    <row r="9" spans="2:8" ht="24.75" customHeight="1" x14ac:dyDescent="0.2">
      <c r="B9" s="42" t="s">
        <v>896</v>
      </c>
      <c r="C9" s="48"/>
      <c r="D9" s="38">
        <v>192556.38</v>
      </c>
    </row>
    <row r="10" spans="2:8" ht="24.75" customHeight="1" x14ac:dyDescent="0.2">
      <c r="B10" s="42" t="s">
        <v>197</v>
      </c>
      <c r="C10" s="48"/>
      <c r="D10" s="38">
        <v>200000</v>
      </c>
    </row>
    <row r="11" spans="2:8" ht="24.75" customHeight="1" x14ac:dyDescent="0.2">
      <c r="B11" s="43" t="s">
        <v>383</v>
      </c>
      <c r="C11" s="49"/>
      <c r="D11" s="39">
        <v>477745170.49000001</v>
      </c>
      <c r="G11" s="2"/>
      <c r="H11" s="6"/>
    </row>
    <row r="12" spans="2:8" ht="24.75" customHeight="1" x14ac:dyDescent="0.2">
      <c r="B12" s="43" t="s">
        <v>384</v>
      </c>
      <c r="C12" s="49"/>
      <c r="D12" s="39">
        <v>51696.27</v>
      </c>
    </row>
    <row r="13" spans="2:8" ht="24.75" customHeight="1" x14ac:dyDescent="0.2">
      <c r="B13" s="43" t="s">
        <v>332</v>
      </c>
      <c r="C13" s="319">
        <v>56.73</v>
      </c>
      <c r="D13" s="39">
        <v>14152.03</v>
      </c>
      <c r="G13" s="6"/>
    </row>
    <row r="14" spans="2:8" ht="24.75" customHeight="1" x14ac:dyDescent="0.35">
      <c r="B14" s="43" t="s">
        <v>333</v>
      </c>
      <c r="C14" s="49"/>
      <c r="D14" s="40">
        <v>788692.65</v>
      </c>
      <c r="G14" s="6"/>
    </row>
    <row r="15" spans="2:8" ht="24.75" customHeight="1" x14ac:dyDescent="0.4">
      <c r="B15" s="44" t="s">
        <v>134</v>
      </c>
      <c r="C15" s="50"/>
      <c r="D15" s="41">
        <f>SUM(D9:D14)</f>
        <v>478992267.81999993</v>
      </c>
      <c r="G15" s="2"/>
    </row>
    <row r="16" spans="2:8" ht="24.75" customHeight="1" thickBot="1" x14ac:dyDescent="0.25">
      <c r="B16" s="51"/>
      <c r="C16" s="52"/>
      <c r="D16" s="53"/>
    </row>
    <row r="17" spans="4:5" ht="24.75" customHeight="1" x14ac:dyDescent="0.2">
      <c r="D17" s="6"/>
    </row>
    <row r="18" spans="4:5" ht="24.75" customHeight="1" x14ac:dyDescent="0.25">
      <c r="D18" s="248"/>
    </row>
    <row r="19" spans="4:5" ht="24.75" customHeight="1" x14ac:dyDescent="0.2">
      <c r="D19" s="6"/>
    </row>
    <row r="32" spans="4:5" ht="24.75" customHeight="1" x14ac:dyDescent="0.2">
      <c r="E32" s="11"/>
    </row>
    <row r="33" spans="5:5" ht="24.75" customHeight="1" x14ac:dyDescent="0.2">
      <c r="E33" s="11"/>
    </row>
  </sheetData>
  <mergeCells count="4">
    <mergeCell ref="B3:D3"/>
    <mergeCell ref="B4:D4"/>
    <mergeCell ref="B5:D5"/>
    <mergeCell ref="B6:D6"/>
  </mergeCells>
  <pageMargins left="0.59055118110236227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10"/>
  <sheetViews>
    <sheetView zoomScale="90" zoomScaleNormal="90" zoomScaleSheetLayoutView="90" workbookViewId="0">
      <selection activeCell="E11" sqref="E11"/>
    </sheetView>
  </sheetViews>
  <sheetFormatPr baseColWidth="10" defaultColWidth="11.5703125" defaultRowHeight="24.75" customHeight="1" x14ac:dyDescent="0.2"/>
  <cols>
    <col min="1" max="1" width="5.5703125" style="1" customWidth="1"/>
    <col min="2" max="2" width="37.140625" style="1" customWidth="1"/>
    <col min="3" max="3" width="20.7109375" style="1" hidden="1" customWidth="1"/>
    <col min="4" max="4" width="19.5703125" style="1" hidden="1" customWidth="1"/>
    <col min="5" max="5" width="25" style="1" bestFit="1" customWidth="1"/>
    <col min="6" max="6" width="7.140625" style="1" customWidth="1"/>
    <col min="7" max="7" width="6.5703125" style="1" customWidth="1"/>
    <col min="8" max="8" width="20.5703125" style="1" bestFit="1" customWidth="1"/>
    <col min="9" max="9" width="8.42578125" style="1" bestFit="1" customWidth="1"/>
    <col min="10" max="10" width="20.5703125" style="1" bestFit="1" customWidth="1"/>
    <col min="11" max="11" width="12.85546875" style="1" bestFit="1" customWidth="1"/>
    <col min="12" max="12" width="16.5703125" style="1" bestFit="1" customWidth="1"/>
    <col min="13" max="16384" width="11.5703125" style="1"/>
  </cols>
  <sheetData>
    <row r="2" spans="2:8" ht="24.75" customHeight="1" x14ac:dyDescent="0.2">
      <c r="E2" s="5"/>
    </row>
    <row r="3" spans="2:8" ht="24.75" customHeight="1" x14ac:dyDescent="0.25">
      <c r="B3" s="471" t="s">
        <v>210</v>
      </c>
      <c r="C3" s="471"/>
      <c r="D3" s="471"/>
      <c r="E3" s="471"/>
    </row>
    <row r="4" spans="2:8" ht="24.75" customHeight="1" x14ac:dyDescent="0.25">
      <c r="B4" s="471" t="s">
        <v>208</v>
      </c>
      <c r="C4" s="471"/>
      <c r="D4" s="471"/>
      <c r="E4" s="471"/>
    </row>
    <row r="5" spans="2:8" ht="24.75" customHeight="1" x14ac:dyDescent="0.25">
      <c r="B5" s="471" t="s">
        <v>211</v>
      </c>
      <c r="C5" s="471"/>
      <c r="D5" s="471"/>
      <c r="E5" s="471"/>
    </row>
    <row r="6" spans="2:8" ht="24.75" customHeight="1" x14ac:dyDescent="0.25">
      <c r="B6" s="472">
        <v>45291</v>
      </c>
      <c r="C6" s="472"/>
      <c r="D6" s="472"/>
      <c r="E6" s="472"/>
    </row>
    <row r="7" spans="2:8" ht="24.75" customHeight="1" thickBot="1" x14ac:dyDescent="0.3">
      <c r="B7" s="46"/>
      <c r="C7" s="46"/>
      <c r="D7" s="46"/>
      <c r="E7" s="9"/>
    </row>
    <row r="8" spans="2:8" ht="24.75" customHeight="1" thickBot="1" x14ac:dyDescent="0.3">
      <c r="B8" s="30" t="s">
        <v>221</v>
      </c>
      <c r="C8" s="47" t="s">
        <v>192</v>
      </c>
      <c r="D8" s="47" t="s">
        <v>195</v>
      </c>
      <c r="E8" s="31" t="s">
        <v>194</v>
      </c>
    </row>
    <row r="9" spans="2:8" ht="24.75" customHeight="1" x14ac:dyDescent="0.2">
      <c r="B9" s="54" t="s">
        <v>489</v>
      </c>
      <c r="C9" s="13">
        <v>0</v>
      </c>
      <c r="D9" s="13">
        <v>0</v>
      </c>
      <c r="E9" s="39">
        <v>636912090.36000001</v>
      </c>
      <c r="G9" s="6"/>
      <c r="H9" s="6"/>
    </row>
    <row r="10" spans="2:8" ht="24.75" customHeight="1" x14ac:dyDescent="0.35">
      <c r="B10" s="54" t="s">
        <v>748</v>
      </c>
      <c r="C10" s="13">
        <v>0</v>
      </c>
      <c r="D10" s="13">
        <v>0</v>
      </c>
      <c r="E10" s="40">
        <v>514194747.92000002</v>
      </c>
      <c r="G10" s="6"/>
      <c r="H10" s="6"/>
    </row>
    <row r="11" spans="2:8" ht="25.5" customHeight="1" x14ac:dyDescent="0.4">
      <c r="B11" s="44" t="s">
        <v>207</v>
      </c>
      <c r="C11" s="27">
        <f>SUM(C9:C9)</f>
        <v>0</v>
      </c>
      <c r="D11" s="26"/>
      <c r="E11" s="41">
        <f>SUM(E9:E10)</f>
        <v>1151106838.28</v>
      </c>
      <c r="G11" s="37"/>
      <c r="H11" s="6"/>
    </row>
    <row r="12" spans="2:8" ht="24.75" customHeight="1" thickBot="1" x14ac:dyDescent="0.3">
      <c r="B12" s="56"/>
      <c r="C12" s="57"/>
      <c r="D12" s="57"/>
      <c r="E12" s="53"/>
      <c r="G12" s="2"/>
      <c r="H12" s="6"/>
    </row>
    <row r="13" spans="2:8" ht="24.75" customHeight="1" x14ac:dyDescent="0.25">
      <c r="B13" s="10"/>
      <c r="C13" s="12"/>
      <c r="D13" s="12"/>
      <c r="G13" s="2"/>
      <c r="H13" s="6"/>
    </row>
    <row r="14" spans="2:8" ht="24.75" customHeight="1" x14ac:dyDescent="0.2">
      <c r="B14" s="68"/>
      <c r="C14" s="4"/>
      <c r="D14" s="4"/>
      <c r="E14" s="4"/>
      <c r="G14" s="6"/>
      <c r="H14" s="6"/>
    </row>
    <row r="15" spans="2:8" ht="24.75" customHeight="1" x14ac:dyDescent="0.35">
      <c r="B15" s="68"/>
      <c r="C15" s="4"/>
      <c r="D15" s="4"/>
      <c r="E15" s="95"/>
      <c r="G15" s="6"/>
      <c r="H15" s="6"/>
    </row>
    <row r="16" spans="2:8" ht="24.75" customHeight="1" x14ac:dyDescent="0.2">
      <c r="C16" s="2"/>
      <c r="D16" s="242"/>
      <c r="E16" s="2"/>
      <c r="G16" s="6"/>
      <c r="H16" s="6"/>
    </row>
    <row r="17" spans="3:8" ht="24.75" hidden="1" customHeight="1" x14ac:dyDescent="0.35">
      <c r="C17" s="2"/>
      <c r="D17" s="249"/>
      <c r="E17" s="58"/>
      <c r="G17" s="6"/>
      <c r="H17" s="6"/>
    </row>
    <row r="18" spans="3:8" ht="24.75" customHeight="1" x14ac:dyDescent="0.4">
      <c r="C18" s="193"/>
      <c r="D18" s="18"/>
      <c r="E18" s="37"/>
      <c r="G18" s="6"/>
      <c r="H18" s="6"/>
    </row>
    <row r="19" spans="3:8" ht="24.75" customHeight="1" x14ac:dyDescent="0.25">
      <c r="C19" s="59"/>
      <c r="D19" s="18"/>
      <c r="E19" s="250"/>
      <c r="H19" s="6"/>
    </row>
    <row r="20" spans="3:8" ht="24.75" customHeight="1" x14ac:dyDescent="0.2">
      <c r="C20" s="59"/>
      <c r="D20" s="18"/>
      <c r="E20" s="18"/>
      <c r="H20" s="6"/>
    </row>
    <row r="21" spans="3:8" ht="24.75" customHeight="1" x14ac:dyDescent="0.2">
      <c r="C21" s="59"/>
      <c r="D21" s="59"/>
      <c r="E21" s="59"/>
      <c r="H21" s="6"/>
    </row>
    <row r="22" spans="3:8" ht="24.75" customHeight="1" x14ac:dyDescent="0.2">
      <c r="C22" s="59"/>
      <c r="D22" s="59"/>
      <c r="E22" s="59"/>
      <c r="H22" s="6"/>
    </row>
    <row r="23" spans="3:8" ht="24.75" customHeight="1" x14ac:dyDescent="0.2">
      <c r="C23" s="59"/>
      <c r="D23" s="59"/>
      <c r="E23" s="59"/>
      <c r="H23" s="6"/>
    </row>
    <row r="24" spans="3:8" ht="24.75" customHeight="1" x14ac:dyDescent="0.2">
      <c r="C24" s="59"/>
      <c r="D24" s="59"/>
      <c r="E24" s="59"/>
      <c r="H24" s="6"/>
    </row>
    <row r="25" spans="3:8" ht="24.75" customHeight="1" x14ac:dyDescent="0.2">
      <c r="C25" s="59"/>
      <c r="D25" s="59"/>
      <c r="E25" s="59"/>
      <c r="H25" s="6"/>
    </row>
    <row r="26" spans="3:8" ht="24.75" customHeight="1" x14ac:dyDescent="0.2">
      <c r="C26" s="59"/>
      <c r="D26" s="59"/>
      <c r="E26" s="59"/>
      <c r="H26" s="6"/>
    </row>
    <row r="27" spans="3:8" ht="24.75" customHeight="1" x14ac:dyDescent="0.2">
      <c r="C27" s="59"/>
      <c r="D27" s="59"/>
      <c r="E27" s="59"/>
      <c r="H27" s="6"/>
    </row>
    <row r="28" spans="3:8" ht="24.75" customHeight="1" x14ac:dyDescent="0.2">
      <c r="C28" s="59"/>
      <c r="D28" s="59"/>
      <c r="E28" s="59"/>
      <c r="H28" s="6"/>
    </row>
    <row r="29" spans="3:8" ht="24.75" customHeight="1" x14ac:dyDescent="0.2">
      <c r="C29" s="59"/>
      <c r="D29" s="59"/>
      <c r="E29" s="59"/>
      <c r="H29" s="6"/>
    </row>
    <row r="30" spans="3:8" ht="24.75" customHeight="1" x14ac:dyDescent="0.2">
      <c r="C30" s="59"/>
      <c r="D30" s="59"/>
      <c r="E30" s="59"/>
      <c r="H30" s="6"/>
    </row>
    <row r="31" spans="3:8" ht="24.75" customHeight="1" x14ac:dyDescent="0.2">
      <c r="C31" s="59"/>
      <c r="D31" s="59"/>
      <c r="E31" s="59"/>
    </row>
    <row r="32" spans="3:8" ht="24.75" customHeight="1" x14ac:dyDescent="0.2">
      <c r="C32" s="59"/>
      <c r="D32" s="59"/>
      <c r="E32" s="59"/>
    </row>
    <row r="33" spans="3:5" ht="24.75" customHeight="1" x14ac:dyDescent="0.2">
      <c r="C33" s="59"/>
      <c r="D33" s="59"/>
      <c r="E33" s="59"/>
    </row>
    <row r="34" spans="3:5" ht="24.75" customHeight="1" x14ac:dyDescent="0.2">
      <c r="C34" s="59"/>
      <c r="D34" s="59"/>
      <c r="E34" s="59"/>
    </row>
    <row r="35" spans="3:5" ht="24.75" customHeight="1" x14ac:dyDescent="0.2">
      <c r="C35" s="59"/>
      <c r="D35" s="59"/>
      <c r="E35" s="59"/>
    </row>
    <row r="36" spans="3:5" ht="24.75" customHeight="1" x14ac:dyDescent="0.2">
      <c r="C36" s="59"/>
      <c r="D36" s="59"/>
      <c r="E36" s="59"/>
    </row>
    <row r="37" spans="3:5" ht="24.75" customHeight="1" x14ac:dyDescent="0.2">
      <c r="C37" s="59"/>
      <c r="D37" s="59"/>
      <c r="E37" s="59"/>
    </row>
    <row r="38" spans="3:5" ht="24.75" customHeight="1" x14ac:dyDescent="0.2">
      <c r="C38" s="59"/>
      <c r="D38" s="59"/>
      <c r="E38" s="59"/>
    </row>
    <row r="39" spans="3:5" ht="24.75" customHeight="1" x14ac:dyDescent="0.2">
      <c r="C39" s="59"/>
      <c r="D39" s="59"/>
      <c r="E39" s="59"/>
    </row>
    <row r="40" spans="3:5" ht="24.75" customHeight="1" x14ac:dyDescent="0.2">
      <c r="C40" s="59"/>
      <c r="D40" s="59"/>
      <c r="E40" s="59"/>
    </row>
    <row r="41" spans="3:5" ht="24.75" customHeight="1" x14ac:dyDescent="0.2">
      <c r="C41" s="59"/>
      <c r="D41" s="59"/>
      <c r="E41" s="59"/>
    </row>
    <row r="42" spans="3:5" ht="24.75" customHeight="1" x14ac:dyDescent="0.2">
      <c r="C42" s="59"/>
      <c r="D42" s="59"/>
      <c r="E42" s="59"/>
    </row>
    <row r="43" spans="3:5" ht="24.75" customHeight="1" x14ac:dyDescent="0.2">
      <c r="C43" s="59"/>
      <c r="D43" s="59"/>
      <c r="E43" s="59"/>
    </row>
    <row r="44" spans="3:5" ht="24.75" customHeight="1" x14ac:dyDescent="0.2">
      <c r="C44" s="59"/>
      <c r="D44" s="59"/>
      <c r="E44" s="59"/>
    </row>
    <row r="45" spans="3:5" ht="24.75" customHeight="1" x14ac:dyDescent="0.2">
      <c r="C45" s="59"/>
      <c r="D45" s="59"/>
      <c r="E45" s="59"/>
    </row>
    <row r="46" spans="3:5" ht="24.75" customHeight="1" x14ac:dyDescent="0.2">
      <c r="C46" s="59"/>
      <c r="D46" s="59"/>
      <c r="E46" s="59"/>
    </row>
    <row r="47" spans="3:5" ht="24.75" customHeight="1" x14ac:dyDescent="0.2">
      <c r="C47" s="59"/>
      <c r="D47" s="59"/>
      <c r="E47" s="59"/>
    </row>
    <row r="48" spans="3:5" ht="24.75" customHeight="1" x14ac:dyDescent="0.2">
      <c r="C48" s="59"/>
      <c r="D48" s="59"/>
      <c r="E48" s="59"/>
    </row>
    <row r="49" spans="3:5" ht="24.75" customHeight="1" x14ac:dyDescent="0.2">
      <c r="C49" s="59"/>
      <c r="D49" s="59"/>
      <c r="E49" s="59"/>
    </row>
    <row r="50" spans="3:5" ht="24.75" customHeight="1" x14ac:dyDescent="0.2">
      <c r="C50" s="59"/>
      <c r="D50" s="59"/>
      <c r="E50" s="59"/>
    </row>
    <row r="51" spans="3:5" ht="24.75" customHeight="1" x14ac:dyDescent="0.2">
      <c r="C51" s="59"/>
      <c r="D51" s="59"/>
      <c r="E51" s="59"/>
    </row>
    <row r="52" spans="3:5" ht="24.75" customHeight="1" x14ac:dyDescent="0.2">
      <c r="C52" s="59"/>
      <c r="D52" s="59"/>
      <c r="E52" s="59"/>
    </row>
    <row r="53" spans="3:5" ht="24.75" customHeight="1" x14ac:dyDescent="0.2">
      <c r="C53" s="59"/>
      <c r="D53" s="59"/>
      <c r="E53" s="59"/>
    </row>
    <row r="54" spans="3:5" ht="24.75" customHeight="1" x14ac:dyDescent="0.2">
      <c r="C54" s="59"/>
      <c r="D54" s="59"/>
      <c r="E54" s="59"/>
    </row>
    <row r="55" spans="3:5" ht="24.75" customHeight="1" x14ac:dyDescent="0.2">
      <c r="C55" s="59"/>
      <c r="D55" s="59"/>
      <c r="E55" s="59"/>
    </row>
    <row r="56" spans="3:5" ht="24.75" customHeight="1" x14ac:dyDescent="0.2">
      <c r="C56" s="59"/>
      <c r="D56" s="59"/>
      <c r="E56" s="59"/>
    </row>
    <row r="57" spans="3:5" ht="24.75" customHeight="1" x14ac:dyDescent="0.2">
      <c r="C57" s="59"/>
      <c r="D57" s="59"/>
      <c r="E57" s="59"/>
    </row>
    <row r="58" spans="3:5" ht="24.75" customHeight="1" x14ac:dyDescent="0.2">
      <c r="C58" s="59"/>
      <c r="D58" s="59"/>
      <c r="E58" s="59"/>
    </row>
    <row r="59" spans="3:5" ht="24.75" customHeight="1" x14ac:dyDescent="0.2">
      <c r="C59" s="59"/>
      <c r="D59" s="59"/>
      <c r="E59" s="59"/>
    </row>
    <row r="60" spans="3:5" ht="24.75" customHeight="1" x14ac:dyDescent="0.2">
      <c r="C60" s="59"/>
      <c r="D60" s="59"/>
      <c r="E60" s="59"/>
    </row>
    <row r="61" spans="3:5" ht="24.75" customHeight="1" x14ac:dyDescent="0.2">
      <c r="C61" s="59"/>
      <c r="D61" s="59"/>
      <c r="E61" s="59"/>
    </row>
    <row r="62" spans="3:5" ht="24.75" customHeight="1" x14ac:dyDescent="0.2">
      <c r="C62" s="59"/>
      <c r="D62" s="59"/>
      <c r="E62" s="59"/>
    </row>
    <row r="63" spans="3:5" ht="24.75" customHeight="1" x14ac:dyDescent="0.2">
      <c r="C63" s="59"/>
      <c r="D63" s="59"/>
      <c r="E63" s="59"/>
    </row>
    <row r="64" spans="3:5" ht="24.75" customHeight="1" x14ac:dyDescent="0.2">
      <c r="C64" s="59"/>
      <c r="D64" s="59"/>
      <c r="E64" s="59"/>
    </row>
    <row r="65" spans="3:5" ht="24.75" customHeight="1" x14ac:dyDescent="0.2">
      <c r="C65" s="59"/>
      <c r="D65" s="59"/>
      <c r="E65" s="59"/>
    </row>
    <row r="66" spans="3:5" ht="24.75" customHeight="1" x14ac:dyDescent="0.2">
      <c r="C66" s="59"/>
      <c r="D66" s="59"/>
      <c r="E66" s="59"/>
    </row>
    <row r="67" spans="3:5" ht="24.75" customHeight="1" x14ac:dyDescent="0.2">
      <c r="C67" s="59"/>
      <c r="D67" s="59"/>
      <c r="E67" s="59"/>
    </row>
    <row r="68" spans="3:5" ht="24.75" customHeight="1" x14ac:dyDescent="0.2">
      <c r="C68" s="59"/>
      <c r="D68" s="59"/>
      <c r="E68" s="59"/>
    </row>
    <row r="69" spans="3:5" ht="24.75" customHeight="1" x14ac:dyDescent="0.2">
      <c r="C69" s="59"/>
      <c r="D69" s="59"/>
      <c r="E69" s="59"/>
    </row>
    <row r="70" spans="3:5" ht="24.75" customHeight="1" x14ac:dyDescent="0.2">
      <c r="C70" s="59"/>
      <c r="D70" s="59"/>
      <c r="E70" s="59"/>
    </row>
    <row r="71" spans="3:5" ht="24.75" customHeight="1" x14ac:dyDescent="0.2">
      <c r="C71" s="59"/>
      <c r="D71" s="59"/>
      <c r="E71" s="59"/>
    </row>
    <row r="72" spans="3:5" ht="24.75" customHeight="1" x14ac:dyDescent="0.2">
      <c r="C72" s="59"/>
      <c r="D72" s="59"/>
      <c r="E72" s="59"/>
    </row>
    <row r="73" spans="3:5" ht="24.75" customHeight="1" x14ac:dyDescent="0.2">
      <c r="C73" s="59"/>
      <c r="D73" s="59"/>
      <c r="E73" s="59"/>
    </row>
    <row r="74" spans="3:5" ht="24.75" customHeight="1" x14ac:dyDescent="0.2">
      <c r="C74" s="59"/>
      <c r="D74" s="59"/>
      <c r="E74" s="59"/>
    </row>
    <row r="75" spans="3:5" ht="24.75" customHeight="1" x14ac:dyDescent="0.2">
      <c r="C75" s="59"/>
      <c r="D75" s="59"/>
      <c r="E75" s="59"/>
    </row>
    <row r="76" spans="3:5" ht="24.75" customHeight="1" x14ac:dyDescent="0.2">
      <c r="C76" s="59"/>
      <c r="D76" s="59"/>
      <c r="E76" s="59"/>
    </row>
    <row r="77" spans="3:5" ht="24.75" customHeight="1" x14ac:dyDescent="0.2">
      <c r="C77" s="59"/>
      <c r="D77" s="59"/>
      <c r="E77" s="59"/>
    </row>
    <row r="78" spans="3:5" ht="24.75" customHeight="1" x14ac:dyDescent="0.2">
      <c r="C78" s="59"/>
      <c r="D78" s="59"/>
      <c r="E78" s="59"/>
    </row>
    <row r="79" spans="3:5" ht="24.75" customHeight="1" x14ac:dyDescent="0.2">
      <c r="C79" s="59"/>
      <c r="D79" s="59"/>
      <c r="E79" s="59"/>
    </row>
    <row r="80" spans="3:5" ht="24.75" customHeight="1" x14ac:dyDescent="0.2">
      <c r="C80" s="59"/>
      <c r="D80" s="59"/>
      <c r="E80" s="59"/>
    </row>
    <row r="81" spans="3:5" ht="24.75" customHeight="1" x14ac:dyDescent="0.2">
      <c r="C81" s="59"/>
      <c r="D81" s="59"/>
      <c r="E81" s="59"/>
    </row>
    <row r="82" spans="3:5" ht="24.75" customHeight="1" x14ac:dyDescent="0.2">
      <c r="C82" s="59"/>
      <c r="D82" s="59"/>
      <c r="E82" s="59"/>
    </row>
    <row r="83" spans="3:5" ht="24.75" customHeight="1" x14ac:dyDescent="0.2">
      <c r="C83" s="59"/>
      <c r="D83" s="59"/>
      <c r="E83" s="59"/>
    </row>
    <row r="84" spans="3:5" ht="24.75" customHeight="1" x14ac:dyDescent="0.2">
      <c r="C84" s="59"/>
      <c r="D84" s="59"/>
      <c r="E84" s="59"/>
    </row>
    <row r="85" spans="3:5" ht="24.75" customHeight="1" x14ac:dyDescent="0.2">
      <c r="C85" s="59"/>
      <c r="D85" s="59"/>
      <c r="E85" s="59"/>
    </row>
    <row r="86" spans="3:5" ht="24.75" customHeight="1" x14ac:dyDescent="0.2">
      <c r="C86" s="59"/>
      <c r="D86" s="59"/>
      <c r="E86" s="59"/>
    </row>
    <row r="87" spans="3:5" ht="24.75" customHeight="1" x14ac:dyDescent="0.2">
      <c r="C87" s="59"/>
      <c r="D87" s="59"/>
      <c r="E87" s="59"/>
    </row>
    <row r="88" spans="3:5" ht="24.75" customHeight="1" x14ac:dyDescent="0.2">
      <c r="C88" s="59"/>
      <c r="D88" s="59"/>
      <c r="E88" s="59"/>
    </row>
    <row r="89" spans="3:5" ht="24.75" customHeight="1" x14ac:dyDescent="0.2">
      <c r="C89" s="59"/>
      <c r="D89" s="59"/>
      <c r="E89" s="59"/>
    </row>
    <row r="90" spans="3:5" ht="24.75" customHeight="1" x14ac:dyDescent="0.2">
      <c r="C90" s="59"/>
      <c r="D90" s="59"/>
      <c r="E90" s="59"/>
    </row>
    <row r="91" spans="3:5" ht="24.75" customHeight="1" x14ac:dyDescent="0.2">
      <c r="C91" s="59"/>
      <c r="D91" s="59"/>
      <c r="E91" s="59"/>
    </row>
    <row r="92" spans="3:5" ht="24.75" customHeight="1" x14ac:dyDescent="0.2">
      <c r="C92" s="59"/>
      <c r="D92" s="59"/>
      <c r="E92" s="59"/>
    </row>
    <row r="93" spans="3:5" ht="24.75" customHeight="1" x14ac:dyDescent="0.2">
      <c r="C93" s="59"/>
      <c r="D93" s="59"/>
      <c r="E93" s="59"/>
    </row>
    <row r="94" spans="3:5" ht="24.75" customHeight="1" x14ac:dyDescent="0.2">
      <c r="C94" s="59"/>
      <c r="D94" s="59"/>
      <c r="E94" s="59"/>
    </row>
    <row r="95" spans="3:5" ht="24.75" customHeight="1" x14ac:dyDescent="0.2">
      <c r="C95" s="59"/>
      <c r="D95" s="59"/>
      <c r="E95" s="59"/>
    </row>
    <row r="96" spans="3:5" ht="24.75" customHeight="1" x14ac:dyDescent="0.2">
      <c r="C96" s="59"/>
      <c r="D96" s="59"/>
      <c r="E96" s="59"/>
    </row>
    <row r="97" spans="3:5" ht="24.75" customHeight="1" x14ac:dyDescent="0.2">
      <c r="C97" s="59"/>
      <c r="D97" s="59"/>
      <c r="E97" s="59"/>
    </row>
    <row r="98" spans="3:5" ht="24.75" customHeight="1" x14ac:dyDescent="0.2">
      <c r="C98" s="59"/>
      <c r="D98" s="59"/>
      <c r="E98" s="59"/>
    </row>
    <row r="99" spans="3:5" ht="24.75" customHeight="1" x14ac:dyDescent="0.2">
      <c r="C99" s="59"/>
      <c r="D99" s="59"/>
      <c r="E99" s="59"/>
    </row>
    <row r="100" spans="3:5" ht="24.75" customHeight="1" x14ac:dyDescent="0.2">
      <c r="C100" s="59"/>
      <c r="D100" s="59"/>
      <c r="E100" s="59"/>
    </row>
    <row r="101" spans="3:5" ht="24.75" customHeight="1" x14ac:dyDescent="0.2">
      <c r="C101" s="59"/>
      <c r="D101" s="59"/>
      <c r="E101" s="59"/>
    </row>
    <row r="102" spans="3:5" ht="24.75" customHeight="1" x14ac:dyDescent="0.2">
      <c r="C102" s="59"/>
      <c r="D102" s="59"/>
      <c r="E102" s="59"/>
    </row>
    <row r="103" spans="3:5" ht="24.75" customHeight="1" x14ac:dyDescent="0.2">
      <c r="C103" s="59"/>
      <c r="D103" s="59"/>
      <c r="E103" s="59"/>
    </row>
    <row r="104" spans="3:5" ht="24.75" customHeight="1" x14ac:dyDescent="0.2">
      <c r="C104" s="59"/>
      <c r="D104" s="59"/>
      <c r="E104" s="59"/>
    </row>
    <row r="105" spans="3:5" ht="24.75" customHeight="1" x14ac:dyDescent="0.2">
      <c r="C105" s="59"/>
      <c r="D105" s="59"/>
      <c r="E105" s="59"/>
    </row>
    <row r="106" spans="3:5" ht="24.75" customHeight="1" x14ac:dyDescent="0.2">
      <c r="C106" s="59"/>
      <c r="D106" s="59"/>
      <c r="E106" s="59"/>
    </row>
    <row r="107" spans="3:5" ht="24.75" customHeight="1" x14ac:dyDescent="0.2">
      <c r="C107" s="59"/>
      <c r="D107" s="59"/>
      <c r="E107" s="59"/>
    </row>
    <row r="108" spans="3:5" ht="24.75" customHeight="1" x14ac:dyDescent="0.2">
      <c r="C108" s="59"/>
      <c r="D108" s="59"/>
      <c r="E108" s="59"/>
    </row>
    <row r="109" spans="3:5" ht="24.75" customHeight="1" x14ac:dyDescent="0.2">
      <c r="C109" s="59"/>
      <c r="D109" s="59"/>
      <c r="E109" s="59"/>
    </row>
    <row r="110" spans="3:5" ht="24.75" customHeight="1" x14ac:dyDescent="0.2">
      <c r="C110" s="59"/>
      <c r="D110" s="59"/>
      <c r="E110" s="59"/>
    </row>
    <row r="111" spans="3:5" ht="24.75" customHeight="1" x14ac:dyDescent="0.2">
      <c r="C111" s="59"/>
      <c r="D111" s="59"/>
      <c r="E111" s="59"/>
    </row>
    <row r="112" spans="3:5" ht="24.75" customHeight="1" x14ac:dyDescent="0.2">
      <c r="C112" s="59"/>
      <c r="D112" s="59"/>
      <c r="E112" s="59"/>
    </row>
    <row r="113" spans="3:5" ht="24.75" customHeight="1" x14ac:dyDescent="0.2">
      <c r="C113" s="59"/>
      <c r="D113" s="59"/>
      <c r="E113" s="59"/>
    </row>
    <row r="114" spans="3:5" ht="24.75" customHeight="1" x14ac:dyDescent="0.2">
      <c r="C114" s="59"/>
      <c r="D114" s="59"/>
      <c r="E114" s="59"/>
    </row>
    <row r="115" spans="3:5" ht="24.75" customHeight="1" x14ac:dyDescent="0.2">
      <c r="C115" s="59"/>
      <c r="D115" s="59"/>
      <c r="E115" s="59"/>
    </row>
    <row r="116" spans="3:5" ht="24.75" customHeight="1" x14ac:dyDescent="0.2">
      <c r="C116" s="59"/>
      <c r="D116" s="59"/>
      <c r="E116" s="59"/>
    </row>
    <row r="117" spans="3:5" ht="24.75" customHeight="1" x14ac:dyDescent="0.2">
      <c r="C117" s="59"/>
      <c r="D117" s="59"/>
      <c r="E117" s="59"/>
    </row>
    <row r="118" spans="3:5" ht="24.75" customHeight="1" x14ac:dyDescent="0.2">
      <c r="C118" s="59"/>
      <c r="D118" s="59"/>
      <c r="E118" s="59"/>
    </row>
    <row r="119" spans="3:5" ht="24.75" customHeight="1" x14ac:dyDescent="0.2">
      <c r="C119" s="59"/>
      <c r="D119" s="59"/>
      <c r="E119" s="59"/>
    </row>
    <row r="120" spans="3:5" ht="24.75" customHeight="1" x14ac:dyDescent="0.2">
      <c r="C120" s="59"/>
      <c r="D120" s="59"/>
      <c r="E120" s="59"/>
    </row>
    <row r="121" spans="3:5" ht="24.75" customHeight="1" x14ac:dyDescent="0.2">
      <c r="C121" s="59"/>
      <c r="D121" s="59"/>
      <c r="E121" s="59"/>
    </row>
    <row r="122" spans="3:5" ht="24.75" customHeight="1" x14ac:dyDescent="0.2">
      <c r="C122" s="59"/>
      <c r="D122" s="59"/>
      <c r="E122" s="59"/>
    </row>
    <row r="123" spans="3:5" ht="24.75" customHeight="1" x14ac:dyDescent="0.2">
      <c r="C123" s="59"/>
      <c r="D123" s="59"/>
      <c r="E123" s="59"/>
    </row>
    <row r="124" spans="3:5" ht="24.75" customHeight="1" x14ac:dyDescent="0.2">
      <c r="C124" s="59"/>
      <c r="D124" s="59"/>
      <c r="E124" s="59"/>
    </row>
    <row r="125" spans="3:5" ht="24.75" customHeight="1" x14ac:dyDescent="0.2">
      <c r="C125" s="59"/>
      <c r="D125" s="59"/>
      <c r="E125" s="59"/>
    </row>
    <row r="126" spans="3:5" ht="24.75" customHeight="1" x14ac:dyDescent="0.2">
      <c r="C126" s="59"/>
      <c r="D126" s="59"/>
      <c r="E126" s="59"/>
    </row>
    <row r="127" spans="3:5" ht="24.75" customHeight="1" x14ac:dyDescent="0.2">
      <c r="C127" s="59"/>
      <c r="D127" s="59"/>
      <c r="E127" s="59"/>
    </row>
    <row r="128" spans="3:5" ht="24.75" customHeight="1" x14ac:dyDescent="0.2">
      <c r="C128" s="59"/>
      <c r="D128" s="59"/>
      <c r="E128" s="59"/>
    </row>
    <row r="129" spans="3:5" ht="24.75" customHeight="1" x14ac:dyDescent="0.2">
      <c r="C129" s="59"/>
      <c r="D129" s="59"/>
      <c r="E129" s="59"/>
    </row>
    <row r="130" spans="3:5" ht="24.75" customHeight="1" x14ac:dyDescent="0.2">
      <c r="C130" s="59"/>
      <c r="D130" s="59"/>
      <c r="E130" s="59"/>
    </row>
    <row r="131" spans="3:5" ht="24.75" customHeight="1" x14ac:dyDescent="0.2">
      <c r="C131" s="59"/>
      <c r="D131" s="59"/>
      <c r="E131" s="59"/>
    </row>
    <row r="132" spans="3:5" ht="24.75" customHeight="1" x14ac:dyDescent="0.2">
      <c r="C132" s="59"/>
      <c r="D132" s="59"/>
      <c r="E132" s="59"/>
    </row>
    <row r="133" spans="3:5" ht="24.75" customHeight="1" x14ac:dyDescent="0.2">
      <c r="C133" s="59"/>
      <c r="D133" s="59"/>
      <c r="E133" s="59"/>
    </row>
    <row r="134" spans="3:5" ht="24.75" customHeight="1" x14ac:dyDescent="0.2">
      <c r="C134" s="59"/>
      <c r="D134" s="59"/>
      <c r="E134" s="59"/>
    </row>
    <row r="135" spans="3:5" ht="24.75" customHeight="1" x14ac:dyDescent="0.2">
      <c r="C135" s="59"/>
      <c r="D135" s="59"/>
      <c r="E135" s="59"/>
    </row>
    <row r="136" spans="3:5" ht="24.75" customHeight="1" x14ac:dyDescent="0.2">
      <c r="C136" s="59"/>
      <c r="D136" s="59"/>
      <c r="E136" s="59"/>
    </row>
    <row r="137" spans="3:5" ht="24.75" customHeight="1" x14ac:dyDescent="0.2">
      <c r="C137" s="59"/>
      <c r="D137" s="59"/>
      <c r="E137" s="59"/>
    </row>
    <row r="138" spans="3:5" ht="24.75" customHeight="1" x14ac:dyDescent="0.2">
      <c r="C138" s="59"/>
      <c r="D138" s="59"/>
      <c r="E138" s="59"/>
    </row>
    <row r="139" spans="3:5" ht="24.75" customHeight="1" x14ac:dyDescent="0.2">
      <c r="C139" s="59"/>
      <c r="D139" s="59"/>
      <c r="E139" s="59"/>
    </row>
    <row r="140" spans="3:5" ht="24.75" customHeight="1" x14ac:dyDescent="0.2">
      <c r="C140" s="59"/>
      <c r="D140" s="59"/>
      <c r="E140" s="59"/>
    </row>
    <row r="141" spans="3:5" ht="24.75" customHeight="1" x14ac:dyDescent="0.2">
      <c r="C141" s="59"/>
      <c r="D141" s="59"/>
      <c r="E141" s="59"/>
    </row>
    <row r="142" spans="3:5" ht="24.75" customHeight="1" x14ac:dyDescent="0.2">
      <c r="C142" s="59"/>
      <c r="D142" s="59"/>
      <c r="E142" s="59"/>
    </row>
    <row r="143" spans="3:5" ht="24.75" customHeight="1" x14ac:dyDescent="0.2">
      <c r="C143" s="59"/>
      <c r="D143" s="59"/>
      <c r="E143" s="59"/>
    </row>
    <row r="144" spans="3:5" ht="24.75" customHeight="1" x14ac:dyDescent="0.2">
      <c r="C144" s="59"/>
      <c r="D144" s="59"/>
      <c r="E144" s="59"/>
    </row>
    <row r="145" spans="3:5" ht="24.75" customHeight="1" x14ac:dyDescent="0.2">
      <c r="C145" s="59"/>
      <c r="D145" s="59"/>
      <c r="E145" s="59"/>
    </row>
    <row r="146" spans="3:5" ht="24.75" customHeight="1" x14ac:dyDescent="0.2">
      <c r="C146" s="59"/>
      <c r="D146" s="59"/>
      <c r="E146" s="59"/>
    </row>
    <row r="147" spans="3:5" ht="24.75" customHeight="1" x14ac:dyDescent="0.2">
      <c r="C147" s="59"/>
      <c r="D147" s="59"/>
      <c r="E147" s="59"/>
    </row>
    <row r="148" spans="3:5" ht="24.75" customHeight="1" x14ac:dyDescent="0.2">
      <c r="C148" s="59"/>
      <c r="D148" s="59"/>
      <c r="E148" s="59"/>
    </row>
    <row r="149" spans="3:5" ht="24.75" customHeight="1" x14ac:dyDescent="0.2">
      <c r="C149" s="59"/>
      <c r="D149" s="59"/>
      <c r="E149" s="59"/>
    </row>
    <row r="150" spans="3:5" ht="24.75" customHeight="1" x14ac:dyDescent="0.2">
      <c r="C150" s="59"/>
      <c r="D150" s="59"/>
      <c r="E150" s="59"/>
    </row>
    <row r="151" spans="3:5" ht="24.75" customHeight="1" x14ac:dyDescent="0.2">
      <c r="C151" s="59"/>
      <c r="D151" s="59"/>
      <c r="E151" s="59"/>
    </row>
    <row r="152" spans="3:5" ht="24.75" customHeight="1" x14ac:dyDescent="0.2">
      <c r="C152" s="59"/>
      <c r="D152" s="59"/>
      <c r="E152" s="59"/>
    </row>
    <row r="153" spans="3:5" ht="24.75" customHeight="1" x14ac:dyDescent="0.2">
      <c r="C153" s="59"/>
      <c r="D153" s="59"/>
      <c r="E153" s="59"/>
    </row>
    <row r="154" spans="3:5" ht="24.75" customHeight="1" x14ac:dyDescent="0.2">
      <c r="C154" s="59"/>
      <c r="D154" s="59"/>
      <c r="E154" s="59"/>
    </row>
    <row r="155" spans="3:5" ht="24.75" customHeight="1" x14ac:dyDescent="0.2">
      <c r="C155" s="59"/>
      <c r="D155" s="59"/>
      <c r="E155" s="59"/>
    </row>
    <row r="156" spans="3:5" ht="24.75" customHeight="1" x14ac:dyDescent="0.2">
      <c r="C156" s="59"/>
      <c r="D156" s="59"/>
      <c r="E156" s="59"/>
    </row>
    <row r="157" spans="3:5" ht="24.75" customHeight="1" x14ac:dyDescent="0.2">
      <c r="C157" s="59"/>
      <c r="D157" s="59"/>
      <c r="E157" s="59"/>
    </row>
    <row r="158" spans="3:5" ht="24.75" customHeight="1" x14ac:dyDescent="0.2">
      <c r="C158" s="59"/>
      <c r="D158" s="59"/>
      <c r="E158" s="59"/>
    </row>
    <row r="159" spans="3:5" ht="24.75" customHeight="1" x14ac:dyDescent="0.2">
      <c r="C159" s="59"/>
      <c r="D159" s="59"/>
      <c r="E159" s="59"/>
    </row>
    <row r="160" spans="3:5" ht="24.75" customHeight="1" x14ac:dyDescent="0.2">
      <c r="C160" s="59"/>
      <c r="D160" s="59"/>
      <c r="E160" s="59"/>
    </row>
    <row r="161" spans="3:5" ht="24.75" customHeight="1" x14ac:dyDescent="0.2">
      <c r="C161" s="59"/>
      <c r="D161" s="59"/>
      <c r="E161" s="59"/>
    </row>
    <row r="162" spans="3:5" ht="24.75" customHeight="1" x14ac:dyDescent="0.2">
      <c r="C162" s="59"/>
      <c r="D162" s="59"/>
      <c r="E162" s="59"/>
    </row>
    <row r="163" spans="3:5" ht="24.75" customHeight="1" x14ac:dyDescent="0.2">
      <c r="C163" s="59"/>
      <c r="D163" s="59"/>
      <c r="E163" s="59"/>
    </row>
    <row r="164" spans="3:5" ht="24.75" customHeight="1" x14ac:dyDescent="0.2">
      <c r="C164" s="59"/>
      <c r="D164" s="59"/>
      <c r="E164" s="59"/>
    </row>
    <row r="165" spans="3:5" ht="24.75" customHeight="1" x14ac:dyDescent="0.2">
      <c r="C165" s="59"/>
      <c r="D165" s="59"/>
      <c r="E165" s="59"/>
    </row>
    <row r="166" spans="3:5" ht="24.75" customHeight="1" x14ac:dyDescent="0.2">
      <c r="C166" s="59"/>
      <c r="D166" s="59"/>
      <c r="E166" s="59"/>
    </row>
    <row r="167" spans="3:5" ht="24.75" customHeight="1" x14ac:dyDescent="0.2">
      <c r="C167" s="59"/>
      <c r="D167" s="59"/>
      <c r="E167" s="59"/>
    </row>
    <row r="168" spans="3:5" ht="24.75" customHeight="1" x14ac:dyDescent="0.2">
      <c r="C168" s="59"/>
      <c r="D168" s="59"/>
      <c r="E168" s="59"/>
    </row>
    <row r="169" spans="3:5" ht="24.75" customHeight="1" x14ac:dyDescent="0.2">
      <c r="C169" s="59"/>
      <c r="D169" s="59"/>
      <c r="E169" s="59"/>
    </row>
    <row r="170" spans="3:5" ht="24.75" customHeight="1" x14ac:dyDescent="0.2">
      <c r="C170" s="59"/>
      <c r="D170" s="59"/>
      <c r="E170" s="59"/>
    </row>
    <row r="171" spans="3:5" ht="24.75" customHeight="1" x14ac:dyDescent="0.2">
      <c r="C171" s="59"/>
      <c r="D171" s="59"/>
      <c r="E171" s="59"/>
    </row>
    <row r="172" spans="3:5" ht="24.75" customHeight="1" x14ac:dyDescent="0.2">
      <c r="C172" s="59"/>
      <c r="D172" s="59"/>
      <c r="E172" s="59"/>
    </row>
    <row r="173" spans="3:5" ht="24.75" customHeight="1" x14ac:dyDescent="0.2">
      <c r="C173" s="59"/>
      <c r="D173" s="59"/>
      <c r="E173" s="59"/>
    </row>
    <row r="174" spans="3:5" ht="24.75" customHeight="1" x14ac:dyDescent="0.2">
      <c r="C174" s="59"/>
      <c r="D174" s="59"/>
      <c r="E174" s="59"/>
    </row>
    <row r="175" spans="3:5" ht="24.75" customHeight="1" x14ac:dyDescent="0.2">
      <c r="C175" s="59"/>
      <c r="D175" s="59"/>
      <c r="E175" s="59"/>
    </row>
    <row r="176" spans="3:5" ht="24.75" customHeight="1" x14ac:dyDescent="0.2">
      <c r="C176" s="59"/>
      <c r="D176" s="59"/>
      <c r="E176" s="59"/>
    </row>
    <row r="177" spans="3:5" ht="24.75" customHeight="1" x14ac:dyDescent="0.2">
      <c r="C177" s="59"/>
      <c r="D177" s="59"/>
      <c r="E177" s="59"/>
    </row>
    <row r="178" spans="3:5" ht="24.75" customHeight="1" x14ac:dyDescent="0.2">
      <c r="C178" s="59"/>
      <c r="D178" s="59"/>
      <c r="E178" s="59"/>
    </row>
    <row r="179" spans="3:5" ht="24.75" customHeight="1" x14ac:dyDescent="0.2">
      <c r="C179" s="59"/>
      <c r="D179" s="59"/>
      <c r="E179" s="59"/>
    </row>
    <row r="180" spans="3:5" ht="24.75" customHeight="1" x14ac:dyDescent="0.2">
      <c r="C180" s="59"/>
      <c r="D180" s="59"/>
      <c r="E180" s="59"/>
    </row>
    <row r="181" spans="3:5" ht="24.75" customHeight="1" x14ac:dyDescent="0.2">
      <c r="C181" s="59"/>
      <c r="D181" s="59"/>
      <c r="E181" s="59"/>
    </row>
    <row r="182" spans="3:5" ht="24.75" customHeight="1" x14ac:dyDescent="0.2">
      <c r="C182" s="59"/>
      <c r="D182" s="59"/>
      <c r="E182" s="59"/>
    </row>
    <row r="183" spans="3:5" ht="24.75" customHeight="1" x14ac:dyDescent="0.2">
      <c r="C183" s="59"/>
      <c r="D183" s="59"/>
      <c r="E183" s="59"/>
    </row>
    <row r="184" spans="3:5" ht="24.75" customHeight="1" x14ac:dyDescent="0.2">
      <c r="C184" s="59"/>
      <c r="D184" s="59"/>
      <c r="E184" s="59"/>
    </row>
    <row r="185" spans="3:5" ht="24.75" customHeight="1" x14ac:dyDescent="0.2">
      <c r="C185" s="59"/>
      <c r="D185" s="59"/>
      <c r="E185" s="59"/>
    </row>
    <row r="186" spans="3:5" ht="24.75" customHeight="1" x14ac:dyDescent="0.2">
      <c r="C186" s="59"/>
      <c r="D186" s="59"/>
      <c r="E186" s="59"/>
    </row>
    <row r="187" spans="3:5" ht="24.75" customHeight="1" x14ac:dyDescent="0.2">
      <c r="C187" s="59"/>
      <c r="D187" s="59"/>
      <c r="E187" s="59"/>
    </row>
    <row r="188" spans="3:5" ht="24.75" customHeight="1" x14ac:dyDescent="0.2">
      <c r="C188" s="59"/>
      <c r="D188" s="59"/>
      <c r="E188" s="59"/>
    </row>
    <row r="189" spans="3:5" ht="24.75" customHeight="1" x14ac:dyDescent="0.2">
      <c r="C189" s="59"/>
      <c r="D189" s="59"/>
      <c r="E189" s="59"/>
    </row>
    <row r="190" spans="3:5" ht="24.75" customHeight="1" x14ac:dyDescent="0.2">
      <c r="C190" s="59"/>
      <c r="D190" s="59"/>
      <c r="E190" s="59"/>
    </row>
    <row r="191" spans="3:5" ht="24.75" customHeight="1" x14ac:dyDescent="0.2">
      <c r="C191" s="59"/>
      <c r="D191" s="59"/>
      <c r="E191" s="59"/>
    </row>
    <row r="192" spans="3:5" ht="24.75" customHeight="1" x14ac:dyDescent="0.2">
      <c r="C192" s="59"/>
      <c r="D192" s="59"/>
      <c r="E192" s="59"/>
    </row>
    <row r="193" spans="3:5" ht="24.75" customHeight="1" x14ac:dyDescent="0.2">
      <c r="C193" s="59"/>
      <c r="D193" s="59"/>
      <c r="E193" s="59"/>
    </row>
    <row r="194" spans="3:5" ht="24.75" customHeight="1" x14ac:dyDescent="0.2">
      <c r="C194" s="59"/>
      <c r="D194" s="59"/>
      <c r="E194" s="59"/>
    </row>
    <row r="195" spans="3:5" ht="24.75" customHeight="1" x14ac:dyDescent="0.2">
      <c r="C195" s="59"/>
      <c r="D195" s="59"/>
      <c r="E195" s="59"/>
    </row>
    <row r="196" spans="3:5" ht="24.75" customHeight="1" x14ac:dyDescent="0.2">
      <c r="C196" s="59"/>
      <c r="D196" s="59"/>
      <c r="E196" s="59"/>
    </row>
    <row r="197" spans="3:5" ht="24.75" customHeight="1" x14ac:dyDescent="0.2">
      <c r="C197" s="59"/>
      <c r="D197" s="59"/>
      <c r="E197" s="59"/>
    </row>
    <row r="198" spans="3:5" ht="24.75" customHeight="1" x14ac:dyDescent="0.2">
      <c r="C198" s="59"/>
      <c r="D198" s="59"/>
      <c r="E198" s="59"/>
    </row>
    <row r="199" spans="3:5" ht="24.75" customHeight="1" x14ac:dyDescent="0.2">
      <c r="C199" s="59"/>
      <c r="D199" s="59"/>
      <c r="E199" s="59"/>
    </row>
    <row r="200" spans="3:5" ht="24.75" customHeight="1" x14ac:dyDescent="0.2">
      <c r="C200" s="59"/>
      <c r="D200" s="59"/>
      <c r="E200" s="59"/>
    </row>
    <row r="201" spans="3:5" ht="24.75" customHeight="1" x14ac:dyDescent="0.2">
      <c r="C201" s="59"/>
      <c r="D201" s="59"/>
      <c r="E201" s="59"/>
    </row>
    <row r="202" spans="3:5" ht="24.75" customHeight="1" x14ac:dyDescent="0.2">
      <c r="C202" s="59"/>
      <c r="D202" s="59"/>
      <c r="E202" s="59"/>
    </row>
    <row r="203" spans="3:5" ht="24.75" customHeight="1" x14ac:dyDescent="0.2">
      <c r="C203" s="59"/>
      <c r="D203" s="59"/>
      <c r="E203" s="59"/>
    </row>
    <row r="204" spans="3:5" ht="24.75" customHeight="1" x14ac:dyDescent="0.2">
      <c r="C204" s="59"/>
      <c r="D204" s="59"/>
      <c r="E204" s="59"/>
    </row>
    <row r="205" spans="3:5" ht="24.75" customHeight="1" x14ac:dyDescent="0.2">
      <c r="C205" s="59"/>
      <c r="D205" s="59"/>
      <c r="E205" s="59"/>
    </row>
    <row r="206" spans="3:5" ht="24.75" customHeight="1" x14ac:dyDescent="0.2">
      <c r="C206" s="59"/>
      <c r="D206" s="59"/>
      <c r="E206" s="59"/>
    </row>
    <row r="207" spans="3:5" ht="24.75" customHeight="1" x14ac:dyDescent="0.2">
      <c r="C207" s="59"/>
      <c r="D207" s="59"/>
      <c r="E207" s="59"/>
    </row>
    <row r="208" spans="3:5" ht="24.75" customHeight="1" x14ac:dyDescent="0.2">
      <c r="C208" s="59"/>
      <c r="D208" s="59"/>
      <c r="E208" s="59"/>
    </row>
    <row r="209" spans="3:5" ht="24.75" customHeight="1" x14ac:dyDescent="0.2">
      <c r="C209" s="59"/>
      <c r="D209" s="59"/>
      <c r="E209" s="59"/>
    </row>
    <row r="210" spans="3:5" ht="24.75" customHeight="1" x14ac:dyDescent="0.2">
      <c r="C210" s="59"/>
      <c r="D210" s="59"/>
      <c r="E210" s="59"/>
    </row>
  </sheetData>
  <mergeCells count="4">
    <mergeCell ref="B5:E5"/>
    <mergeCell ref="B6:E6"/>
    <mergeCell ref="B4:E4"/>
    <mergeCell ref="B3:E3"/>
  </mergeCells>
  <pageMargins left="1.3779527559055118" right="0.70866141732283472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1"/>
  <sheetViews>
    <sheetView workbookViewId="0">
      <selection activeCell="G9" sqref="G9"/>
    </sheetView>
  </sheetViews>
  <sheetFormatPr baseColWidth="10" defaultRowHeight="24.75" customHeight="1" x14ac:dyDescent="0.2"/>
  <cols>
    <col min="1" max="1" width="11.42578125" style="1"/>
    <col min="2" max="2" width="48.140625" style="1" customWidth="1"/>
    <col min="3" max="3" width="24.5703125" style="1" customWidth="1"/>
    <col min="4" max="4" width="11.42578125" style="1"/>
    <col min="5" max="5" width="17.42578125" style="1" bestFit="1" customWidth="1"/>
    <col min="6" max="16384" width="11.42578125" style="1"/>
  </cols>
  <sheetData>
    <row r="3" spans="1:10" ht="24.75" customHeight="1" x14ac:dyDescent="0.25">
      <c r="A3" s="73"/>
      <c r="B3" s="471" t="s">
        <v>214</v>
      </c>
      <c r="C3" s="471"/>
      <c r="D3" s="73"/>
      <c r="G3" s="9"/>
      <c r="H3" s="9"/>
      <c r="I3" s="9"/>
      <c r="J3" s="9"/>
    </row>
    <row r="4" spans="1:10" ht="24.75" customHeight="1" x14ac:dyDescent="0.25">
      <c r="A4" s="73"/>
      <c r="B4" s="471" t="s">
        <v>208</v>
      </c>
      <c r="C4" s="471"/>
      <c r="D4" s="73"/>
      <c r="G4" s="9"/>
      <c r="H4" s="9"/>
      <c r="I4" s="9"/>
      <c r="J4" s="9"/>
    </row>
    <row r="5" spans="1:10" ht="24.75" customHeight="1" x14ac:dyDescent="0.25">
      <c r="A5" s="73"/>
      <c r="B5" s="471" t="s">
        <v>218</v>
      </c>
      <c r="C5" s="471"/>
      <c r="D5" s="73"/>
      <c r="G5" s="9"/>
      <c r="H5" s="9"/>
      <c r="I5" s="9"/>
      <c r="J5" s="9"/>
    </row>
    <row r="6" spans="1:10" ht="24.75" customHeight="1" x14ac:dyDescent="0.25">
      <c r="A6" s="73"/>
      <c r="B6" s="472">
        <v>45291</v>
      </c>
      <c r="C6" s="472"/>
      <c r="D6" s="45"/>
      <c r="E6" s="45"/>
    </row>
    <row r="7" spans="1:10" ht="24.75" customHeight="1" thickBot="1" x14ac:dyDescent="0.3">
      <c r="A7" s="73"/>
      <c r="B7" s="24"/>
      <c r="C7" s="24"/>
      <c r="D7" s="73"/>
    </row>
    <row r="8" spans="1:10" ht="24.75" customHeight="1" thickBot="1" x14ac:dyDescent="0.3">
      <c r="A8" s="73"/>
      <c r="B8" s="30" t="s">
        <v>221</v>
      </c>
      <c r="C8" s="31" t="s">
        <v>194</v>
      </c>
      <c r="D8" s="73"/>
      <c r="E8" s="2"/>
    </row>
    <row r="9" spans="1:10" ht="24.75" customHeight="1" x14ac:dyDescent="0.2">
      <c r="A9" s="73"/>
      <c r="B9" s="74" t="s">
        <v>322</v>
      </c>
      <c r="C9" s="75">
        <f>+'NOTA 3-C-CONST '!F44</f>
        <v>15180461.599999998</v>
      </c>
      <c r="D9" s="73"/>
      <c r="E9" s="2">
        <f>+C9</f>
        <v>15180461.599999998</v>
      </c>
    </row>
    <row r="10" spans="1:10" ht="24.75" customHeight="1" x14ac:dyDescent="0.2">
      <c r="A10" s="73"/>
      <c r="B10" s="76" t="s">
        <v>466</v>
      </c>
      <c r="C10" s="77">
        <f>+'NOTA 3-ANTIC COMP Y OTRAS'!E22</f>
        <v>22460108.780000001</v>
      </c>
      <c r="D10" s="73"/>
      <c r="E10" s="2">
        <f>+C10-1127860</f>
        <v>21332248.780000001</v>
      </c>
    </row>
    <row r="11" spans="1:10" ht="24.75" customHeight="1" x14ac:dyDescent="0.2">
      <c r="A11" s="73"/>
      <c r="B11" s="76" t="s">
        <v>758</v>
      </c>
      <c r="C11" s="77">
        <f>+'NOTA 3-Intereses'!C14</f>
        <v>6400269.9900000002</v>
      </c>
      <c r="D11" s="73"/>
      <c r="E11" s="2">
        <v>0</v>
      </c>
    </row>
    <row r="12" spans="1:10" ht="24.75" customHeight="1" x14ac:dyDescent="0.2">
      <c r="A12" s="73"/>
      <c r="B12" s="76" t="s">
        <v>349</v>
      </c>
      <c r="C12" s="77">
        <f>+'Nota 3 CxC Emplead'!I11</f>
        <v>27598.22</v>
      </c>
      <c r="D12" s="73"/>
      <c r="E12" s="2">
        <f>+'Nota 3 CxC Emplead'!I11-'Nota 3 CxC Emplead'!G9-'Nota 3 CxC Emplead'!G10</f>
        <v>14239.220000000001</v>
      </c>
    </row>
    <row r="13" spans="1:10" ht="24.75" customHeight="1" x14ac:dyDescent="0.35">
      <c r="A13" s="73"/>
      <c r="B13" s="76" t="s">
        <v>949</v>
      </c>
      <c r="C13" s="78">
        <f>+'NOTA 3-C X C'!F11</f>
        <v>287521.02</v>
      </c>
      <c r="D13" s="73"/>
      <c r="E13" s="2">
        <v>287944.52</v>
      </c>
    </row>
    <row r="14" spans="1:10" ht="24.75" customHeight="1" x14ac:dyDescent="0.4">
      <c r="A14" s="73"/>
      <c r="B14" s="79" t="s">
        <v>207</v>
      </c>
      <c r="C14" s="92">
        <f>SUM(C9:C13)</f>
        <v>44355959.609999999</v>
      </c>
      <c r="D14" s="73"/>
      <c r="E14" s="408">
        <f>SUM(E9:E13)</f>
        <v>36814894.119999997</v>
      </c>
    </row>
    <row r="15" spans="1:10" ht="24.75" customHeight="1" thickBot="1" x14ac:dyDescent="0.25">
      <c r="A15" s="73"/>
      <c r="B15" s="80"/>
      <c r="C15" s="81"/>
      <c r="D15" s="73"/>
      <c r="E15" s="2"/>
    </row>
    <row r="16" spans="1:10" ht="24.75" customHeight="1" x14ac:dyDescent="0.2">
      <c r="C16" s="6"/>
    </row>
    <row r="17" spans="3:3" ht="24.75" customHeight="1" x14ac:dyDescent="0.2">
      <c r="C17" s="6"/>
    </row>
    <row r="18" spans="3:3" ht="24.75" customHeight="1" x14ac:dyDescent="0.2">
      <c r="C18" s="6"/>
    </row>
    <row r="19" spans="3:3" ht="24.75" customHeight="1" x14ac:dyDescent="0.2">
      <c r="C19" s="6"/>
    </row>
    <row r="20" spans="3:3" ht="24.75" customHeight="1" x14ac:dyDescent="0.2">
      <c r="C20" s="6"/>
    </row>
    <row r="21" spans="3:3" ht="24.75" customHeight="1" x14ac:dyDescent="0.2">
      <c r="C21" s="6"/>
    </row>
  </sheetData>
  <mergeCells count="4">
    <mergeCell ref="B3:C3"/>
    <mergeCell ref="B4:C4"/>
    <mergeCell ref="B6:C6"/>
    <mergeCell ref="B5:C5"/>
  </mergeCells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1"/>
  <sheetViews>
    <sheetView view="pageBreakPreview" zoomScale="80" zoomScaleNormal="100" zoomScaleSheetLayoutView="80" workbookViewId="0">
      <selection activeCell="C16" sqref="C16"/>
    </sheetView>
  </sheetViews>
  <sheetFormatPr baseColWidth="10" defaultColWidth="9.140625" defaultRowHeight="15" x14ac:dyDescent="0.2"/>
  <cols>
    <col min="1" max="1" width="7.5703125" style="1" bestFit="1" customWidth="1"/>
    <col min="2" max="2" width="46.7109375" style="1" customWidth="1"/>
    <col min="3" max="3" width="68.85546875" style="1" customWidth="1"/>
    <col min="4" max="4" width="17" style="2" customWidth="1"/>
    <col min="5" max="5" width="17.42578125" style="2" bestFit="1" customWidth="1"/>
    <col min="6" max="6" width="17.42578125" style="2" customWidth="1"/>
    <col min="7" max="7" width="12.5703125" style="2" customWidth="1"/>
    <col min="8" max="8" width="21.140625" style="1" customWidth="1"/>
    <col min="9" max="9" width="16.85546875" style="1" bestFit="1" customWidth="1"/>
    <col min="10" max="10" width="9.85546875" style="1" bestFit="1" customWidth="1"/>
    <col min="11" max="16384" width="9.140625" style="1"/>
  </cols>
  <sheetData>
    <row r="1" spans="2:8" ht="24.75" customHeight="1" x14ac:dyDescent="0.25">
      <c r="B1" s="471"/>
      <c r="C1" s="471"/>
      <c r="D1" s="471"/>
      <c r="E1" s="471"/>
      <c r="F1" s="471"/>
    </row>
    <row r="2" spans="2:8" ht="24.75" customHeight="1" x14ac:dyDescent="0.25">
      <c r="B2" s="9"/>
      <c r="C2" s="9"/>
      <c r="D2" s="9"/>
      <c r="E2" s="9"/>
      <c r="F2" s="9"/>
    </row>
    <row r="3" spans="2:8" ht="24.75" customHeight="1" x14ac:dyDescent="0.25">
      <c r="B3" s="471" t="s">
        <v>214</v>
      </c>
      <c r="C3" s="471"/>
      <c r="D3" s="471"/>
      <c r="E3" s="471"/>
      <c r="F3" s="471"/>
    </row>
    <row r="4" spans="2:8" ht="24.75" customHeight="1" x14ac:dyDescent="0.25">
      <c r="B4" s="471" t="s">
        <v>208</v>
      </c>
      <c r="C4" s="471"/>
      <c r="D4" s="471"/>
      <c r="E4" s="471"/>
      <c r="F4" s="471"/>
    </row>
    <row r="5" spans="2:8" ht="24.75" customHeight="1" x14ac:dyDescent="0.25">
      <c r="B5" s="471" t="s">
        <v>215</v>
      </c>
      <c r="C5" s="471"/>
      <c r="D5" s="471"/>
      <c r="E5" s="471"/>
      <c r="F5" s="471"/>
    </row>
    <row r="6" spans="2:8" ht="24.75" customHeight="1" x14ac:dyDescent="0.25">
      <c r="B6" s="472">
        <v>45291</v>
      </c>
      <c r="C6" s="472"/>
      <c r="D6" s="472"/>
      <c r="E6" s="472"/>
      <c r="F6" s="472"/>
    </row>
    <row r="7" spans="2:8" ht="24.75" customHeight="1" thickBot="1" x14ac:dyDescent="0.25">
      <c r="D7" s="1"/>
      <c r="E7" s="1"/>
      <c r="F7" s="1"/>
    </row>
    <row r="8" spans="2:8" ht="24.75" customHeight="1" x14ac:dyDescent="0.25">
      <c r="B8" s="475" t="s">
        <v>221</v>
      </c>
      <c r="C8" s="476"/>
      <c r="D8" s="89" t="s">
        <v>59</v>
      </c>
      <c r="E8" s="89" t="s">
        <v>61</v>
      </c>
      <c r="F8" s="60" t="s">
        <v>59</v>
      </c>
      <c r="G8" s="1"/>
    </row>
    <row r="9" spans="2:8" ht="24.75" customHeight="1" thickBot="1" x14ac:dyDescent="0.3">
      <c r="B9" s="477"/>
      <c r="C9" s="478"/>
      <c r="D9" s="90" t="s">
        <v>60</v>
      </c>
      <c r="E9" s="90" t="s">
        <v>62</v>
      </c>
      <c r="F9" s="91" t="s">
        <v>184</v>
      </c>
      <c r="G9" s="1"/>
    </row>
    <row r="10" spans="2:8" ht="39.6" customHeight="1" x14ac:dyDescent="0.2">
      <c r="B10" s="473" t="s">
        <v>63</v>
      </c>
      <c r="C10" s="88" t="s">
        <v>13</v>
      </c>
      <c r="D10" s="29">
        <v>617492.96</v>
      </c>
      <c r="E10" s="29"/>
      <c r="F10" s="29">
        <f t="shared" ref="F10:F20" si="0">D10-E10</f>
        <v>617492.96</v>
      </c>
      <c r="G10" s="1"/>
    </row>
    <row r="11" spans="2:8" ht="39.6" customHeight="1" x14ac:dyDescent="0.2">
      <c r="B11" s="474"/>
      <c r="C11" s="82" t="s">
        <v>14</v>
      </c>
      <c r="D11" s="13">
        <v>4476.88</v>
      </c>
      <c r="E11" s="13"/>
      <c r="F11" s="13">
        <f t="shared" si="0"/>
        <v>4476.88</v>
      </c>
      <c r="G11" s="1"/>
    </row>
    <row r="12" spans="2:8" ht="39.6" customHeight="1" x14ac:dyDescent="0.25">
      <c r="B12" s="83" t="s">
        <v>15</v>
      </c>
      <c r="C12" s="82" t="s">
        <v>386</v>
      </c>
      <c r="D12" s="13">
        <v>97704.98</v>
      </c>
      <c r="E12" s="13">
        <v>97704.98</v>
      </c>
      <c r="F12" s="13">
        <f t="shared" si="0"/>
        <v>0</v>
      </c>
      <c r="G12" s="1"/>
      <c r="H12" s="2"/>
    </row>
    <row r="13" spans="2:8" ht="39.6" customHeight="1" x14ac:dyDescent="0.25">
      <c r="B13" s="83" t="s">
        <v>16</v>
      </c>
      <c r="C13" s="82" t="s">
        <v>387</v>
      </c>
      <c r="D13" s="13">
        <v>844416.04</v>
      </c>
      <c r="E13" s="13">
        <f>171372.55+174419.3+73837.5+424786.68</f>
        <v>844416.03</v>
      </c>
      <c r="F13" s="13">
        <f t="shared" si="0"/>
        <v>1.0000000009313226E-2</v>
      </c>
      <c r="G13" s="1"/>
      <c r="H13" s="7">
        <v>424786.68</v>
      </c>
    </row>
    <row r="14" spans="2:8" ht="39.6" customHeight="1" x14ac:dyDescent="0.25">
      <c r="B14" s="83" t="s">
        <v>17</v>
      </c>
      <c r="C14" s="82" t="s">
        <v>388</v>
      </c>
      <c r="D14" s="13">
        <v>743275.76</v>
      </c>
      <c r="E14" s="13"/>
      <c r="F14" s="13">
        <f t="shared" si="0"/>
        <v>743275.76</v>
      </c>
      <c r="G14" s="1"/>
    </row>
    <row r="15" spans="2:8" ht="39.6" customHeight="1" x14ac:dyDescent="0.25">
      <c r="B15" s="83" t="s">
        <v>18</v>
      </c>
      <c r="C15" s="82" t="s">
        <v>389</v>
      </c>
      <c r="D15" s="13">
        <v>283280.13999999996</v>
      </c>
      <c r="E15" s="13">
        <f>118556+105665.28+59058.88</f>
        <v>283280.15999999997</v>
      </c>
      <c r="F15" s="13">
        <f t="shared" si="0"/>
        <v>-2.0000000018626451E-2</v>
      </c>
      <c r="G15" s="1"/>
      <c r="H15" s="7">
        <v>59058.879999999997</v>
      </c>
    </row>
    <row r="16" spans="2:8" ht="39.6" customHeight="1" x14ac:dyDescent="0.25">
      <c r="B16" s="84" t="s">
        <v>20</v>
      </c>
      <c r="C16" s="82" t="s">
        <v>390</v>
      </c>
      <c r="D16" s="13">
        <v>27945.799999999988</v>
      </c>
      <c r="E16" s="13"/>
      <c r="F16" s="13">
        <f t="shared" si="0"/>
        <v>27945.799999999988</v>
      </c>
    </row>
    <row r="17" spans="2:9" ht="39.6" customHeight="1" x14ac:dyDescent="0.25">
      <c r="B17" s="83" t="s">
        <v>21</v>
      </c>
      <c r="C17" s="82" t="s">
        <v>391</v>
      </c>
      <c r="D17" s="13">
        <v>25017.630000000005</v>
      </c>
      <c r="E17" s="13"/>
      <c r="F17" s="13">
        <f t="shared" si="0"/>
        <v>25017.630000000005</v>
      </c>
    </row>
    <row r="18" spans="2:9" ht="39.6" customHeight="1" x14ac:dyDescent="0.2">
      <c r="B18" s="84" t="s">
        <v>22</v>
      </c>
      <c r="C18" s="82" t="s">
        <v>23</v>
      </c>
      <c r="D18" s="13">
        <v>601501.59</v>
      </c>
      <c r="E18" s="13"/>
      <c r="F18" s="13">
        <f t="shared" si="0"/>
        <v>601501.59</v>
      </c>
    </row>
    <row r="19" spans="2:9" ht="39.6" customHeight="1" x14ac:dyDescent="0.2">
      <c r="B19" s="83" t="s">
        <v>24</v>
      </c>
      <c r="C19" s="82" t="s">
        <v>25</v>
      </c>
      <c r="D19" s="13">
        <v>608783.95000000007</v>
      </c>
      <c r="E19" s="13"/>
      <c r="F19" s="13">
        <f t="shared" si="0"/>
        <v>608783.95000000007</v>
      </c>
    </row>
    <row r="20" spans="2:9" ht="39.6" customHeight="1" x14ac:dyDescent="0.2">
      <c r="B20" s="83" t="s">
        <v>26</v>
      </c>
      <c r="C20" s="82" t="s">
        <v>392</v>
      </c>
      <c r="D20" s="13">
        <v>523901.76999999996</v>
      </c>
      <c r="E20" s="13"/>
      <c r="F20" s="13">
        <f t="shared" si="0"/>
        <v>523901.76999999996</v>
      </c>
    </row>
    <row r="21" spans="2:9" ht="39.6" customHeight="1" x14ac:dyDescent="0.2">
      <c r="B21" s="83" t="s">
        <v>27</v>
      </c>
      <c r="C21" s="82" t="s">
        <v>28</v>
      </c>
      <c r="D21" s="13">
        <v>814702.41</v>
      </c>
      <c r="E21" s="13">
        <f>60932.32+89366.58+114703.52+206038.52</f>
        <v>471040.93999999994</v>
      </c>
      <c r="F21" s="13">
        <f t="shared" ref="F21:F39" si="1">D21-E21</f>
        <v>343661.47000000009</v>
      </c>
      <c r="H21" s="7">
        <v>206038.52</v>
      </c>
      <c r="I21" s="7"/>
    </row>
    <row r="22" spans="2:9" ht="39.6" customHeight="1" x14ac:dyDescent="0.2">
      <c r="B22" s="83" t="s">
        <v>29</v>
      </c>
      <c r="C22" s="82" t="s">
        <v>30</v>
      </c>
      <c r="D22" s="13">
        <v>104068.5</v>
      </c>
      <c r="E22" s="13">
        <v>91558.02</v>
      </c>
      <c r="F22" s="13">
        <f t="shared" si="1"/>
        <v>12510.479999999996</v>
      </c>
    </row>
    <row r="23" spans="2:9" ht="39.6" customHeight="1" x14ac:dyDescent="0.2">
      <c r="B23" s="84" t="s">
        <v>31</v>
      </c>
      <c r="C23" s="82" t="s">
        <v>394</v>
      </c>
      <c r="D23" s="13">
        <v>5506.4100000000108</v>
      </c>
      <c r="E23" s="13"/>
      <c r="F23" s="13">
        <f t="shared" si="1"/>
        <v>5506.4100000000108</v>
      </c>
    </row>
    <row r="24" spans="2:9" ht="39.6" customHeight="1" x14ac:dyDescent="0.2">
      <c r="B24" s="83" t="s">
        <v>32</v>
      </c>
      <c r="C24" s="82" t="s">
        <v>33</v>
      </c>
      <c r="D24" s="13">
        <v>499058.10999999993</v>
      </c>
      <c r="E24" s="13"/>
      <c r="F24" s="13">
        <f t="shared" si="1"/>
        <v>499058.10999999993</v>
      </c>
    </row>
    <row r="25" spans="2:9" ht="39.6" customHeight="1" x14ac:dyDescent="0.25">
      <c r="B25" s="83" t="s">
        <v>34</v>
      </c>
      <c r="C25" s="82" t="s">
        <v>35</v>
      </c>
      <c r="D25" s="13">
        <v>639569.22</v>
      </c>
      <c r="E25" s="13">
        <v>46161.86</v>
      </c>
      <c r="F25" s="13">
        <f t="shared" si="1"/>
        <v>593407.36</v>
      </c>
      <c r="H25" s="85"/>
      <c r="I25" s="86"/>
    </row>
    <row r="26" spans="2:9" ht="39.6" customHeight="1" x14ac:dyDescent="0.2">
      <c r="B26" s="83" t="s">
        <v>36</v>
      </c>
      <c r="C26" s="82" t="s">
        <v>37</v>
      </c>
      <c r="D26" s="13">
        <v>174584.27999999997</v>
      </c>
      <c r="E26" s="13">
        <f>67714.24+106870.04</f>
        <v>174584.28</v>
      </c>
      <c r="F26" s="13">
        <f t="shared" si="1"/>
        <v>0</v>
      </c>
      <c r="H26" s="7"/>
    </row>
    <row r="27" spans="2:9" ht="39.6" customHeight="1" x14ac:dyDescent="0.2">
      <c r="B27" s="83" t="s">
        <v>38</v>
      </c>
      <c r="C27" s="82" t="s">
        <v>39</v>
      </c>
      <c r="D27" s="13">
        <v>851941.5199999999</v>
      </c>
      <c r="E27" s="13">
        <f>67011.97+323371.84+273564.81</f>
        <v>663948.62000000011</v>
      </c>
      <c r="F27" s="13">
        <f t="shared" si="1"/>
        <v>187992.89999999979</v>
      </c>
      <c r="H27" s="7">
        <v>273564.81</v>
      </c>
    </row>
    <row r="28" spans="2:9" ht="39.6" customHeight="1" x14ac:dyDescent="0.2">
      <c r="B28" s="83" t="s">
        <v>40</v>
      </c>
      <c r="C28" s="82" t="s">
        <v>41</v>
      </c>
      <c r="D28" s="13">
        <f>804969.47</f>
        <v>804969.47</v>
      </c>
      <c r="E28" s="13">
        <f>57334.96+104564.67+141427.4+89954.65+86205.14+328482.66-3000.01</f>
        <v>804969.47</v>
      </c>
      <c r="F28" s="13">
        <f t="shared" si="1"/>
        <v>0</v>
      </c>
      <c r="H28" s="7"/>
    </row>
    <row r="29" spans="2:9" ht="39.6" customHeight="1" x14ac:dyDescent="0.2">
      <c r="B29" s="83" t="s">
        <v>42</v>
      </c>
      <c r="C29" s="82" t="s">
        <v>43</v>
      </c>
      <c r="D29" s="13">
        <v>537913.55000000005</v>
      </c>
      <c r="E29" s="13">
        <f>120419.27+411350.52</f>
        <v>531769.79</v>
      </c>
      <c r="F29" s="13">
        <f t="shared" si="1"/>
        <v>6143.7600000000093</v>
      </c>
      <c r="H29" s="7"/>
    </row>
    <row r="30" spans="2:9" ht="39.6" customHeight="1" x14ac:dyDescent="0.2">
      <c r="B30" s="84" t="s">
        <v>44</v>
      </c>
      <c r="C30" s="82" t="s">
        <v>45</v>
      </c>
      <c r="D30" s="13">
        <v>1806434.1400000001</v>
      </c>
      <c r="E30" s="13">
        <f>307518.98+1498915.16</f>
        <v>1806434.14</v>
      </c>
      <c r="F30" s="13">
        <f t="shared" si="1"/>
        <v>0</v>
      </c>
      <c r="H30" s="382"/>
    </row>
    <row r="31" spans="2:9" ht="45.75" customHeight="1" x14ac:dyDescent="0.2">
      <c r="B31" s="83" t="s">
        <v>46</v>
      </c>
      <c r="C31" s="82" t="s">
        <v>47</v>
      </c>
      <c r="D31" s="13">
        <v>811013.05000000016</v>
      </c>
      <c r="E31" s="13">
        <f>46165.68+60453.88+61520.11+146866.88</f>
        <v>315006.55</v>
      </c>
      <c r="F31" s="13">
        <f t="shared" si="1"/>
        <v>496006.50000000017</v>
      </c>
      <c r="H31" s="6"/>
    </row>
    <row r="32" spans="2:9" ht="39.6" customHeight="1" x14ac:dyDescent="0.2">
      <c r="B32" s="84" t="s">
        <v>48</v>
      </c>
      <c r="C32" s="82" t="s">
        <v>49</v>
      </c>
      <c r="D32" s="13">
        <v>1412912.5599999998</v>
      </c>
      <c r="E32" s="13">
        <v>326569.62</v>
      </c>
      <c r="F32" s="13">
        <f t="shared" si="1"/>
        <v>1086342.94</v>
      </c>
    </row>
    <row r="33" spans="2:8" ht="45" x14ac:dyDescent="0.2">
      <c r="B33" s="83" t="s">
        <v>50</v>
      </c>
      <c r="C33" s="82" t="s">
        <v>51</v>
      </c>
      <c r="D33" s="13">
        <v>1762344.18</v>
      </c>
      <c r="E33" s="13">
        <f>235574.08+226712.69+213416.11</f>
        <v>675702.88</v>
      </c>
      <c r="F33" s="13">
        <f t="shared" si="1"/>
        <v>1086641.2999999998</v>
      </c>
      <c r="H33" s="7">
        <v>213416.11</v>
      </c>
    </row>
    <row r="34" spans="2:8" ht="39.6" customHeight="1" x14ac:dyDescent="0.2">
      <c r="B34" s="84" t="s">
        <v>52</v>
      </c>
      <c r="C34" s="82" t="s">
        <v>53</v>
      </c>
      <c r="D34" s="13">
        <f>1387421.13</f>
        <v>1387421.13</v>
      </c>
      <c r="E34" s="13">
        <f>729880.39+340505.29+317035.45</f>
        <v>1387421.13</v>
      </c>
      <c r="F34" s="13">
        <f t="shared" si="1"/>
        <v>0</v>
      </c>
      <c r="H34" s="7">
        <v>317035.45</v>
      </c>
    </row>
    <row r="35" spans="2:8" ht="39.6" customHeight="1" x14ac:dyDescent="0.2">
      <c r="B35" s="83" t="s">
        <v>54</v>
      </c>
      <c r="C35" s="82" t="s">
        <v>55</v>
      </c>
      <c r="D35" s="13">
        <v>942080.79</v>
      </c>
      <c r="E35" s="13">
        <f>60579.28+105283.76</f>
        <v>165863.03999999998</v>
      </c>
      <c r="F35" s="13">
        <f t="shared" si="1"/>
        <v>776217.75</v>
      </c>
    </row>
    <row r="36" spans="2:8" ht="39.6" customHeight="1" x14ac:dyDescent="0.2">
      <c r="B36" s="84" t="s">
        <v>31</v>
      </c>
      <c r="C36" s="82" t="s">
        <v>56</v>
      </c>
      <c r="D36" s="13">
        <v>2257548</v>
      </c>
      <c r="E36" s="13">
        <f>301624.06+330236.89+273097.18+150481.58+238893.34</f>
        <v>1294333.05</v>
      </c>
      <c r="F36" s="13">
        <f t="shared" si="1"/>
        <v>963214.95</v>
      </c>
      <c r="H36" s="7">
        <v>238893.34</v>
      </c>
    </row>
    <row r="37" spans="2:8" ht="39.6" customHeight="1" x14ac:dyDescent="0.2">
      <c r="B37" s="83" t="s">
        <v>31</v>
      </c>
      <c r="C37" s="82" t="s">
        <v>57</v>
      </c>
      <c r="D37" s="13">
        <v>1640362.07</v>
      </c>
      <c r="E37" s="13">
        <f>564682.61+149772.01+168279.13+347104.04+3000</f>
        <v>1232837.79</v>
      </c>
      <c r="F37" s="13">
        <f t="shared" si="1"/>
        <v>407524.28</v>
      </c>
      <c r="H37" s="7"/>
    </row>
    <row r="38" spans="2:8" ht="49.5" customHeight="1" x14ac:dyDescent="0.2">
      <c r="B38" s="83" t="s">
        <v>299</v>
      </c>
      <c r="C38" s="82" t="s">
        <v>300</v>
      </c>
      <c r="D38" s="13">
        <v>485158.58</v>
      </c>
      <c r="E38" s="13"/>
      <c r="F38" s="13">
        <f t="shared" si="1"/>
        <v>485158.58</v>
      </c>
    </row>
    <row r="39" spans="2:8" ht="39.6" customHeight="1" x14ac:dyDescent="0.2">
      <c r="B39" s="84" t="s">
        <v>52</v>
      </c>
      <c r="C39" s="381" t="s">
        <v>58</v>
      </c>
      <c r="D39" s="13">
        <v>859371.14999999991</v>
      </c>
      <c r="E39" s="13">
        <f>471284.48+286295.13+101791.52</f>
        <v>859371.13</v>
      </c>
      <c r="F39" s="13">
        <f t="shared" si="1"/>
        <v>1.999999990221113E-2</v>
      </c>
      <c r="H39" s="7">
        <v>101791.52</v>
      </c>
    </row>
    <row r="40" spans="2:8" ht="39.6" customHeight="1" x14ac:dyDescent="0.2">
      <c r="B40" s="84" t="s">
        <v>749</v>
      </c>
      <c r="C40" s="381" t="s">
        <v>750</v>
      </c>
      <c r="D40" s="13">
        <v>1718395.94</v>
      </c>
      <c r="E40" s="13">
        <v>0</v>
      </c>
      <c r="F40" s="13">
        <f>D40-E40</f>
        <v>1718395.94</v>
      </c>
    </row>
    <row r="41" spans="2:8" ht="39.6" customHeight="1" x14ac:dyDescent="0.2">
      <c r="B41" s="84" t="s">
        <v>720</v>
      </c>
      <c r="C41" s="380" t="s">
        <v>833</v>
      </c>
      <c r="D41" s="13">
        <v>1168921.01</v>
      </c>
      <c r="E41" s="13">
        <v>0</v>
      </c>
      <c r="F41" s="13">
        <f t="shared" ref="F41:F43" si="2">D41-E41</f>
        <v>1168921.01</v>
      </c>
    </row>
    <row r="42" spans="2:8" ht="39.6" customHeight="1" x14ac:dyDescent="0.2">
      <c r="B42" s="84" t="s">
        <v>834</v>
      </c>
      <c r="C42" s="381" t="s">
        <v>835</v>
      </c>
      <c r="D42" s="13">
        <v>939063.12</v>
      </c>
      <c r="E42" s="13">
        <v>0</v>
      </c>
      <c r="F42" s="13">
        <f>D42-E42</f>
        <v>939063.12</v>
      </c>
    </row>
    <row r="43" spans="2:8" ht="39.6" customHeight="1" x14ac:dyDescent="0.2">
      <c r="B43" s="84" t="s">
        <v>836</v>
      </c>
      <c r="C43" s="381" t="s">
        <v>837</v>
      </c>
      <c r="D43" s="13">
        <v>1252298.3899999999</v>
      </c>
      <c r="E43" s="13">
        <v>0</v>
      </c>
      <c r="F43" s="13">
        <f t="shared" si="2"/>
        <v>1252298.3899999999</v>
      </c>
    </row>
    <row r="44" spans="2:8" ht="29.25" customHeight="1" x14ac:dyDescent="0.4">
      <c r="B44" s="25"/>
      <c r="C44" s="25"/>
      <c r="D44" s="27">
        <f>SUM(D10:D40)</f>
        <v>23893152.559999999</v>
      </c>
      <c r="E44" s="27">
        <f>SUM(E10:E40)</f>
        <v>12072973.479999999</v>
      </c>
      <c r="F44" s="27">
        <f>SUM(F10:F43)</f>
        <v>15180461.599999998</v>
      </c>
      <c r="H44" s="27">
        <f>SUM(H10:H43)</f>
        <v>1834585.31</v>
      </c>
    </row>
    <row r="45" spans="2:8" ht="30.75" customHeight="1" x14ac:dyDescent="0.2">
      <c r="B45" s="25"/>
      <c r="C45" s="25"/>
      <c r="D45" s="13"/>
      <c r="E45" s="13"/>
      <c r="F45" s="13"/>
      <c r="G45" s="189"/>
    </row>
    <row r="47" spans="2:8" x14ac:dyDescent="0.2">
      <c r="F47" s="2">
        <f>-H44</f>
        <v>-1834585.31</v>
      </c>
    </row>
    <row r="48" spans="2:8" ht="15.75" x14ac:dyDescent="0.25">
      <c r="C48" s="87" t="s">
        <v>255</v>
      </c>
      <c r="F48" s="320">
        <v>15180461.6</v>
      </c>
    </row>
    <row r="49" spans="5:6" x14ac:dyDescent="0.2">
      <c r="F49" s="373"/>
    </row>
    <row r="50" spans="5:6" x14ac:dyDescent="0.2">
      <c r="E50" s="18"/>
    </row>
    <row r="61" spans="5:6" x14ac:dyDescent="0.2">
      <c r="F61" s="2">
        <v>0</v>
      </c>
    </row>
  </sheetData>
  <mergeCells count="7">
    <mergeCell ref="B5:F5"/>
    <mergeCell ref="B10:B11"/>
    <mergeCell ref="B1:F1"/>
    <mergeCell ref="B3:F3"/>
    <mergeCell ref="B8:C9"/>
    <mergeCell ref="B4:F4"/>
    <mergeCell ref="B6:F6"/>
  </mergeCells>
  <phoneticPr fontId="10" type="noConversion"/>
  <pageMargins left="0.35433070866141736" right="0.74803149606299213" top="0.98425196850393704" bottom="0.98425196850393704" header="0" footer="0"/>
  <pageSetup scale="55" fitToHeight="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="110" zoomScaleNormal="110" workbookViewId="0">
      <selection activeCell="E22" sqref="E22"/>
    </sheetView>
  </sheetViews>
  <sheetFormatPr baseColWidth="10" defaultColWidth="11.5703125" defaultRowHeight="24.75" customHeight="1" x14ac:dyDescent="0.2"/>
  <cols>
    <col min="1" max="1" width="4.7109375" style="8" customWidth="1"/>
    <col min="2" max="2" width="14.28515625" style="8" customWidth="1"/>
    <col min="3" max="3" width="16.28515625" style="8" customWidth="1"/>
    <col min="4" max="4" width="45.140625" style="8" bestFit="1" customWidth="1"/>
    <col min="5" max="5" width="17.85546875" style="8" bestFit="1" customWidth="1"/>
    <col min="6" max="6" width="16.42578125" style="8" bestFit="1" customWidth="1"/>
    <col min="7" max="7" width="3.28515625" style="8" customWidth="1"/>
    <col min="8" max="8" width="13.42578125" style="8" customWidth="1"/>
    <col min="9" max="16384" width="11.5703125" style="8"/>
  </cols>
  <sheetData>
    <row r="1" spans="1:6" ht="24.75" customHeight="1" x14ac:dyDescent="0.2">
      <c r="A1" s="1"/>
      <c r="B1" s="1"/>
      <c r="C1" s="1"/>
      <c r="D1" s="1"/>
      <c r="E1" s="2"/>
      <c r="F1" s="1"/>
    </row>
    <row r="2" spans="1:6" ht="24.75" customHeight="1" x14ac:dyDescent="0.25">
      <c r="A2" s="1"/>
      <c r="B2" s="471"/>
      <c r="C2" s="471"/>
      <c r="D2" s="471"/>
      <c r="E2" s="471"/>
      <c r="F2" s="471"/>
    </row>
    <row r="3" spans="1:6" ht="24.75" customHeight="1" x14ac:dyDescent="0.25">
      <c r="A3" s="1"/>
      <c r="B3" s="471" t="s">
        <v>214</v>
      </c>
      <c r="C3" s="471"/>
      <c r="D3" s="471"/>
      <c r="E3" s="471"/>
      <c r="F3" s="471"/>
    </row>
    <row r="4" spans="1:6" ht="24.75" customHeight="1" x14ac:dyDescent="0.25">
      <c r="A4" s="1"/>
      <c r="B4" s="471" t="s">
        <v>208</v>
      </c>
      <c r="C4" s="471"/>
      <c r="D4" s="471"/>
      <c r="E4" s="471"/>
      <c r="F4" s="471"/>
    </row>
    <row r="5" spans="1:6" ht="24.75" customHeight="1" x14ac:dyDescent="0.25">
      <c r="A5" s="1"/>
      <c r="B5" s="471" t="s">
        <v>217</v>
      </c>
      <c r="C5" s="471"/>
      <c r="D5" s="471"/>
      <c r="E5" s="471"/>
      <c r="F5" s="471"/>
    </row>
    <row r="6" spans="1:6" ht="24.75" customHeight="1" x14ac:dyDescent="0.25">
      <c r="A6" s="1"/>
      <c r="B6" s="472">
        <v>45291</v>
      </c>
      <c r="C6" s="472"/>
      <c r="D6" s="472"/>
      <c r="E6" s="472"/>
      <c r="F6" s="472"/>
    </row>
    <row r="7" spans="1:6" ht="24.75" customHeight="1" thickBot="1" x14ac:dyDescent="0.3">
      <c r="A7" s="1"/>
      <c r="B7" s="1"/>
      <c r="C7" s="1"/>
      <c r="D7" s="9"/>
      <c r="E7" s="9"/>
      <c r="F7" s="1"/>
    </row>
    <row r="8" spans="1:6" ht="24.75" customHeight="1" thickBot="1" x14ac:dyDescent="0.3">
      <c r="A8" s="1"/>
      <c r="B8" s="61" t="s">
        <v>166</v>
      </c>
      <c r="C8" s="62" t="s">
        <v>395</v>
      </c>
      <c r="D8" s="47" t="s">
        <v>167</v>
      </c>
      <c r="E8" s="47" t="s">
        <v>168</v>
      </c>
      <c r="F8" s="31" t="s">
        <v>216</v>
      </c>
    </row>
    <row r="9" spans="1:6" ht="24.75" customHeight="1" x14ac:dyDescent="0.2">
      <c r="A9" s="1"/>
      <c r="B9" s="66">
        <v>44042</v>
      </c>
      <c r="C9" s="63">
        <v>36759</v>
      </c>
      <c r="D9" s="28" t="s">
        <v>323</v>
      </c>
      <c r="E9" s="29">
        <v>320878.34000000003</v>
      </c>
      <c r="F9" s="63" t="s">
        <v>189</v>
      </c>
    </row>
    <row r="10" spans="1:6" ht="24.75" customHeight="1" x14ac:dyDescent="0.2">
      <c r="A10" s="1"/>
      <c r="B10" s="67">
        <v>44042</v>
      </c>
      <c r="C10" s="64">
        <v>36760</v>
      </c>
      <c r="D10" s="28" t="s">
        <v>323</v>
      </c>
      <c r="E10" s="13">
        <v>320878.34000000003</v>
      </c>
      <c r="F10" s="64" t="s">
        <v>189</v>
      </c>
    </row>
    <row r="11" spans="1:6" ht="24.75" customHeight="1" x14ac:dyDescent="0.2">
      <c r="A11" s="1"/>
      <c r="B11" s="67">
        <v>44042</v>
      </c>
      <c r="C11" s="64">
        <v>36762</v>
      </c>
      <c r="D11" s="28" t="s">
        <v>323</v>
      </c>
      <c r="E11" s="13">
        <v>261614.87</v>
      </c>
      <c r="F11" s="64" t="s">
        <v>189</v>
      </c>
    </row>
    <row r="12" spans="1:6" ht="24.75" customHeight="1" x14ac:dyDescent="0.2">
      <c r="A12" s="1"/>
      <c r="B12" s="67">
        <v>44042</v>
      </c>
      <c r="C12" s="64">
        <v>36763</v>
      </c>
      <c r="D12" s="28" t="s">
        <v>323</v>
      </c>
      <c r="E12" s="13">
        <v>636759.86</v>
      </c>
      <c r="F12" s="64" t="s">
        <v>189</v>
      </c>
    </row>
    <row r="13" spans="1:6" ht="24.75" customHeight="1" x14ac:dyDescent="0.2">
      <c r="A13" s="1"/>
      <c r="B13" s="67">
        <v>44042</v>
      </c>
      <c r="C13" s="64">
        <v>36765</v>
      </c>
      <c r="D13" s="28" t="s">
        <v>323</v>
      </c>
      <c r="E13" s="13">
        <v>636759.86</v>
      </c>
      <c r="F13" s="64" t="s">
        <v>189</v>
      </c>
    </row>
    <row r="14" spans="1:6" ht="24.75" customHeight="1" x14ac:dyDescent="0.2">
      <c r="A14" s="1"/>
      <c r="B14" s="67">
        <v>44042</v>
      </c>
      <c r="C14" s="64">
        <v>36766</v>
      </c>
      <c r="D14" s="28" t="s">
        <v>323</v>
      </c>
      <c r="E14" s="13">
        <v>282294.27</v>
      </c>
      <c r="F14" s="64" t="s">
        <v>189</v>
      </c>
    </row>
    <row r="15" spans="1:6" ht="24.75" customHeight="1" x14ac:dyDescent="0.2">
      <c r="A15" s="1"/>
      <c r="B15" s="67">
        <v>44872</v>
      </c>
      <c r="C15" s="64">
        <v>38842</v>
      </c>
      <c r="D15" s="28" t="s">
        <v>328</v>
      </c>
      <c r="E15" s="13">
        <v>1574710</v>
      </c>
      <c r="F15" s="64" t="s">
        <v>189</v>
      </c>
    </row>
    <row r="16" spans="1:6" ht="24.75" customHeight="1" x14ac:dyDescent="0.2">
      <c r="A16" s="1"/>
      <c r="B16" s="67">
        <v>44894</v>
      </c>
      <c r="C16" s="64">
        <v>38855</v>
      </c>
      <c r="D16" s="28" t="s">
        <v>330</v>
      </c>
      <c r="E16" s="13">
        <v>5149638</v>
      </c>
      <c r="F16" s="64" t="s">
        <v>189</v>
      </c>
    </row>
    <row r="17" spans="1:8" ht="23.25" customHeight="1" x14ac:dyDescent="0.2">
      <c r="A17" s="1"/>
      <c r="B17" s="67">
        <v>44907</v>
      </c>
      <c r="C17" s="64">
        <v>38881</v>
      </c>
      <c r="D17" s="28" t="s">
        <v>328</v>
      </c>
      <c r="E17" s="13">
        <v>2362065</v>
      </c>
      <c r="F17" s="64" t="s">
        <v>189</v>
      </c>
      <c r="G17" s="192"/>
    </row>
    <row r="18" spans="1:8" ht="22.5" customHeight="1" x14ac:dyDescent="0.2">
      <c r="A18" s="1"/>
      <c r="B18" s="67">
        <v>45043</v>
      </c>
      <c r="C18" s="64">
        <v>39088</v>
      </c>
      <c r="D18" s="28" t="s">
        <v>446</v>
      </c>
      <c r="E18" s="13">
        <v>477182.74</v>
      </c>
      <c r="F18" s="64" t="s">
        <v>189</v>
      </c>
    </row>
    <row r="19" spans="1:8" ht="24.75" customHeight="1" x14ac:dyDescent="0.2">
      <c r="A19" s="1"/>
      <c r="B19" s="67">
        <v>45049</v>
      </c>
      <c r="C19" s="64">
        <v>39106</v>
      </c>
      <c r="D19" s="28" t="s">
        <v>330</v>
      </c>
      <c r="E19" s="13">
        <v>7724457</v>
      </c>
      <c r="F19" s="64" t="s">
        <v>189</v>
      </c>
    </row>
    <row r="20" spans="1:8" ht="24.75" customHeight="1" x14ac:dyDescent="0.2">
      <c r="A20" s="1"/>
      <c r="B20" s="67">
        <v>45147</v>
      </c>
      <c r="C20" s="64">
        <v>39239</v>
      </c>
      <c r="D20" s="28" t="s">
        <v>711</v>
      </c>
      <c r="E20" s="13">
        <v>350805.5</v>
      </c>
      <c r="F20" s="64" t="s">
        <v>189</v>
      </c>
    </row>
    <row r="21" spans="1:8" ht="24.75" customHeight="1" x14ac:dyDescent="0.35">
      <c r="A21" s="1"/>
      <c r="B21" s="67">
        <v>45225</v>
      </c>
      <c r="C21" s="64">
        <v>39387</v>
      </c>
      <c r="D21" s="28" t="s">
        <v>328</v>
      </c>
      <c r="E21" s="55">
        <v>2362065</v>
      </c>
      <c r="F21" s="64" t="s">
        <v>189</v>
      </c>
    </row>
    <row r="22" spans="1:8" ht="24.75" customHeight="1" x14ac:dyDescent="0.4">
      <c r="A22" s="1"/>
      <c r="B22" s="25"/>
      <c r="C22" s="25"/>
      <c r="D22" s="36" t="s">
        <v>59</v>
      </c>
      <c r="E22" s="65">
        <f>SUM(E9:E21)</f>
        <v>22460108.780000001</v>
      </c>
      <c r="F22" s="25"/>
      <c r="H22" s="262"/>
    </row>
    <row r="23" spans="1:8" ht="24.75" customHeight="1" x14ac:dyDescent="0.2">
      <c r="A23" s="1"/>
      <c r="B23" s="25"/>
      <c r="C23" s="25"/>
      <c r="D23" s="25"/>
      <c r="E23" s="13"/>
      <c r="F23" s="25"/>
      <c r="H23" s="235"/>
    </row>
    <row r="24" spans="1:8" ht="24.75" customHeight="1" x14ac:dyDescent="0.25">
      <c r="A24" s="1"/>
      <c r="B24" s="1"/>
      <c r="C24" s="1"/>
      <c r="D24" s="10"/>
      <c r="F24" s="1"/>
      <c r="H24" s="235"/>
    </row>
    <row r="25" spans="1:8" ht="24.75" customHeight="1" x14ac:dyDescent="0.2">
      <c r="A25" s="1"/>
      <c r="B25" s="1"/>
      <c r="C25" s="1"/>
      <c r="D25" s="261" t="s">
        <v>490</v>
      </c>
      <c r="F25" s="1"/>
    </row>
    <row r="27" spans="1:8" ht="24.75" customHeight="1" x14ac:dyDescent="0.2">
      <c r="D27" s="8" t="s">
        <v>871</v>
      </c>
      <c r="E27" s="6">
        <v>26801297.230000004</v>
      </c>
    </row>
    <row r="28" spans="1:8" ht="24.75" customHeight="1" x14ac:dyDescent="0.35">
      <c r="D28" s="8" t="s">
        <v>872</v>
      </c>
      <c r="E28" s="401">
        <v>22460108.780000001</v>
      </c>
    </row>
    <row r="29" spans="1:8" ht="24.75" customHeight="1" x14ac:dyDescent="0.2">
      <c r="D29" s="8" t="s">
        <v>867</v>
      </c>
      <c r="E29" s="192">
        <f>+E27-E28</f>
        <v>4341188.450000003</v>
      </c>
    </row>
    <row r="30" spans="1:8" ht="24.75" customHeight="1" x14ac:dyDescent="0.2">
      <c r="C30" s="8" t="s">
        <v>873</v>
      </c>
      <c r="D30" s="8" t="s">
        <v>329</v>
      </c>
      <c r="E30" s="192">
        <v>-1627945.67</v>
      </c>
    </row>
    <row r="31" spans="1:8" ht="24.75" customHeight="1" x14ac:dyDescent="0.2">
      <c r="C31" s="8" t="s">
        <v>874</v>
      </c>
      <c r="D31" s="8" t="s">
        <v>329</v>
      </c>
      <c r="E31" s="192">
        <v>-1627945.67</v>
      </c>
    </row>
    <row r="32" spans="1:8" ht="24.75" customHeight="1" x14ac:dyDescent="0.2">
      <c r="C32" s="8" t="s">
        <v>875</v>
      </c>
      <c r="D32" s="8" t="s">
        <v>329</v>
      </c>
      <c r="E32" s="192">
        <v>-1085297.1100000001</v>
      </c>
    </row>
    <row r="33" spans="5:5" ht="24.75" customHeight="1" thickBot="1" x14ac:dyDescent="0.25">
      <c r="E33" s="402">
        <f>SUM(E29:E32)</f>
        <v>3.0267983675003052E-9</v>
      </c>
    </row>
    <row r="34" spans="5:5" ht="24.75" customHeight="1" thickTop="1" x14ac:dyDescent="0.2"/>
  </sheetData>
  <mergeCells count="5">
    <mergeCell ref="B2:F2"/>
    <mergeCell ref="B3:F3"/>
    <mergeCell ref="B4:F4"/>
    <mergeCell ref="B5:F5"/>
    <mergeCell ref="B6:F6"/>
  </mergeCells>
  <phoneticPr fontId="74" type="noConversion"/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C23"/>
  <sheetViews>
    <sheetView workbookViewId="0">
      <selection activeCell="B12" sqref="B12"/>
    </sheetView>
  </sheetViews>
  <sheetFormatPr baseColWidth="10" defaultRowHeight="12.75" x14ac:dyDescent="0.2"/>
  <cols>
    <col min="1" max="1" width="5.140625" customWidth="1"/>
    <col min="2" max="2" width="52" customWidth="1"/>
    <col min="3" max="3" width="25" customWidth="1"/>
    <col min="4" max="4" width="24.5703125" customWidth="1"/>
  </cols>
  <sheetData>
    <row r="7" spans="2:3" ht="18.75" customHeight="1" x14ac:dyDescent="0.25">
      <c r="B7" s="471" t="s">
        <v>214</v>
      </c>
      <c r="C7" s="471"/>
    </row>
    <row r="8" spans="2:3" ht="18" customHeight="1" x14ac:dyDescent="0.25">
      <c r="B8" s="471" t="s">
        <v>208</v>
      </c>
      <c r="C8" s="471"/>
    </row>
    <row r="9" spans="2:3" ht="18.75" customHeight="1" x14ac:dyDescent="0.25">
      <c r="B9" s="471" t="s">
        <v>218</v>
      </c>
      <c r="C9" s="471"/>
    </row>
    <row r="10" spans="2:3" ht="24" customHeight="1" x14ac:dyDescent="0.25">
      <c r="B10" s="472">
        <v>45291</v>
      </c>
      <c r="C10" s="472"/>
    </row>
    <row r="11" spans="2:3" ht="15.75" thickBot="1" x14ac:dyDescent="0.25">
      <c r="B11" s="1"/>
      <c r="C11" s="1"/>
    </row>
    <row r="12" spans="2:3" ht="24.75" customHeight="1" thickBot="1" x14ac:dyDescent="0.3">
      <c r="B12" s="264" t="s">
        <v>221</v>
      </c>
      <c r="C12" s="31" t="s">
        <v>194</v>
      </c>
    </row>
    <row r="13" spans="2:3" ht="30" customHeight="1" x14ac:dyDescent="0.25">
      <c r="B13" s="415" t="s">
        <v>491</v>
      </c>
      <c r="C13" s="416">
        <v>6400269.9900000002</v>
      </c>
    </row>
    <row r="14" spans="2:3" ht="30" customHeight="1" thickBot="1" x14ac:dyDescent="0.3">
      <c r="B14" s="417" t="s">
        <v>207</v>
      </c>
      <c r="C14" s="363">
        <f>SUM(C13)</f>
        <v>6400269.9900000002</v>
      </c>
    </row>
    <row r="15" spans="2:3" ht="30" customHeight="1" x14ac:dyDescent="0.2"/>
    <row r="16" spans="2:3" ht="27" customHeight="1" x14ac:dyDescent="0.2"/>
    <row r="17" ht="27" customHeight="1" x14ac:dyDescent="0.2"/>
    <row r="18" ht="27" customHeight="1" x14ac:dyDescent="0.2"/>
    <row r="19" ht="27" customHeight="1" x14ac:dyDescent="0.2"/>
    <row r="20" ht="27" customHeight="1" x14ac:dyDescent="0.2"/>
    <row r="21" ht="27" customHeight="1" x14ac:dyDescent="0.2"/>
    <row r="22" ht="27" customHeight="1" x14ac:dyDescent="0.2"/>
    <row r="23" ht="27" customHeight="1" x14ac:dyDescent="0.2"/>
  </sheetData>
  <mergeCells count="4">
    <mergeCell ref="B7:C7"/>
    <mergeCell ref="B8:C8"/>
    <mergeCell ref="B9:C9"/>
    <mergeCell ref="B10:C1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H8" sqref="H8"/>
    </sheetView>
  </sheetViews>
  <sheetFormatPr baseColWidth="10" defaultRowHeight="24.75" customHeight="1" x14ac:dyDescent="0.2"/>
  <cols>
    <col min="1" max="1" width="6.140625" customWidth="1"/>
    <col min="2" max="2" width="35.28515625" customWidth="1"/>
    <col min="3" max="3" width="17" hidden="1" customWidth="1"/>
    <col min="4" max="4" width="18.42578125" hidden="1" customWidth="1"/>
    <col min="5" max="5" width="19.5703125" customWidth="1"/>
    <col min="6" max="6" width="13.85546875" customWidth="1"/>
    <col min="7" max="7" width="18" customWidth="1"/>
    <col min="8" max="8" width="24.28515625" customWidth="1"/>
    <col min="9" max="9" width="16.42578125" customWidth="1"/>
  </cols>
  <sheetData>
    <row r="1" spans="1:9" ht="24.7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24.7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24.75" customHeight="1" x14ac:dyDescent="0.25">
      <c r="A3" s="68"/>
      <c r="B3" s="479" t="s">
        <v>214</v>
      </c>
      <c r="C3" s="479"/>
      <c r="D3" s="479"/>
      <c r="E3" s="479"/>
      <c r="F3" s="479"/>
      <c r="G3" s="479"/>
      <c r="H3" s="479"/>
      <c r="I3" s="479"/>
    </row>
    <row r="4" spans="1:9" ht="24.75" customHeight="1" x14ac:dyDescent="0.25">
      <c r="A4" s="68"/>
      <c r="B4" s="479" t="s">
        <v>350</v>
      </c>
      <c r="C4" s="479"/>
      <c r="D4" s="479"/>
      <c r="E4" s="479"/>
      <c r="F4" s="479"/>
      <c r="G4" s="479"/>
      <c r="H4" s="479"/>
      <c r="I4" s="479"/>
    </row>
    <row r="5" spans="1:9" ht="24.75" customHeight="1" x14ac:dyDescent="0.25">
      <c r="A5" s="68"/>
      <c r="B5" s="479" t="s">
        <v>351</v>
      </c>
      <c r="C5" s="479"/>
      <c r="D5" s="479"/>
      <c r="E5" s="479"/>
      <c r="F5" s="479"/>
      <c r="G5" s="479"/>
      <c r="H5" s="479"/>
      <c r="I5" s="479"/>
    </row>
    <row r="6" spans="1:9" ht="24.75" customHeight="1" x14ac:dyDescent="0.25">
      <c r="A6" s="68"/>
      <c r="B6" s="480">
        <v>45291</v>
      </c>
      <c r="C6" s="480"/>
      <c r="D6" s="480"/>
      <c r="E6" s="480"/>
      <c r="F6" s="480"/>
      <c r="G6" s="480"/>
      <c r="H6" s="480"/>
      <c r="I6" s="480"/>
    </row>
    <row r="7" spans="1:9" ht="24.75" customHeight="1" thickBot="1" x14ac:dyDescent="0.3">
      <c r="A7" s="68"/>
      <c r="B7" s="69"/>
      <c r="C7" s="68"/>
      <c r="D7" s="68"/>
      <c r="E7" s="68"/>
      <c r="F7" s="68"/>
      <c r="G7" s="68"/>
      <c r="H7" s="68"/>
      <c r="I7" s="68"/>
    </row>
    <row r="8" spans="1:9" ht="48" thickBot="1" x14ac:dyDescent="0.25">
      <c r="A8" s="430" t="s">
        <v>352</v>
      </c>
      <c r="B8" s="431" t="s">
        <v>353</v>
      </c>
      <c r="C8" s="431" t="s">
        <v>354</v>
      </c>
      <c r="D8" s="431" t="s">
        <v>355</v>
      </c>
      <c r="E8" s="432" t="s">
        <v>356</v>
      </c>
      <c r="F8" s="432" t="s">
        <v>379</v>
      </c>
      <c r="G8" s="432" t="s">
        <v>357</v>
      </c>
      <c r="H8" s="432" t="s">
        <v>385</v>
      </c>
      <c r="I8" s="433" t="s">
        <v>358</v>
      </c>
    </row>
    <row r="9" spans="1:9" s="1" customFormat="1" ht="25.5" customHeight="1" x14ac:dyDescent="0.2">
      <c r="A9" s="419">
        <v>1</v>
      </c>
      <c r="B9" s="71" t="s">
        <v>441</v>
      </c>
      <c r="C9" s="72" t="s">
        <v>361</v>
      </c>
      <c r="D9" s="71" t="s">
        <v>362</v>
      </c>
      <c r="E9" s="70">
        <v>64595</v>
      </c>
      <c r="F9" s="72">
        <v>10</v>
      </c>
      <c r="G9" s="70">
        <f>E9/F9</f>
        <v>6459.5</v>
      </c>
      <c r="H9" s="70">
        <f>+G9*10</f>
        <v>64595</v>
      </c>
      <c r="I9" s="420">
        <f t="shared" ref="I9:I10" si="0">+E9-H9</f>
        <v>0</v>
      </c>
    </row>
    <row r="10" spans="1:9" s="1" customFormat="1" ht="25.5" customHeight="1" x14ac:dyDescent="0.35">
      <c r="A10" s="419">
        <v>2</v>
      </c>
      <c r="B10" s="71" t="s">
        <v>801</v>
      </c>
      <c r="C10" s="72"/>
      <c r="D10" s="71"/>
      <c r="E10" s="94">
        <v>68995</v>
      </c>
      <c r="F10" s="72">
        <v>10</v>
      </c>
      <c r="G10" s="94">
        <f>+E10/10</f>
        <v>6899.5</v>
      </c>
      <c r="H10" s="94">
        <f>+G10*6-0.22</f>
        <v>41396.78</v>
      </c>
      <c r="I10" s="421">
        <f t="shared" si="0"/>
        <v>27598.22</v>
      </c>
    </row>
    <row r="11" spans="1:9" s="1" customFormat="1" ht="25.5" customHeight="1" x14ac:dyDescent="0.4">
      <c r="A11" s="54"/>
      <c r="B11" s="418" t="s">
        <v>161</v>
      </c>
      <c r="C11" s="71"/>
      <c r="D11" s="71"/>
      <c r="E11" s="251">
        <f>SUM(E9:E10)</f>
        <v>133590</v>
      </c>
      <c r="F11" s="252"/>
      <c r="G11" s="251">
        <f>SUM(G9:G10)</f>
        <v>13359</v>
      </c>
      <c r="H11" s="251">
        <f>SUM(H9:H10)</f>
        <v>105991.78</v>
      </c>
      <c r="I11" s="422">
        <f>SUM(I9:I10)</f>
        <v>27598.22</v>
      </c>
    </row>
    <row r="12" spans="1:9" s="1" customFormat="1" ht="25.5" customHeight="1" thickBot="1" x14ac:dyDescent="0.45">
      <c r="A12" s="423"/>
      <c r="B12" s="424"/>
      <c r="C12" s="425"/>
      <c r="D12" s="426"/>
      <c r="E12" s="427"/>
      <c r="F12" s="428"/>
      <c r="G12" s="427"/>
      <c r="H12" s="427"/>
      <c r="I12" s="429"/>
    </row>
    <row r="13" spans="1:9" ht="24.75" customHeight="1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ht="24.75" customHeight="1" x14ac:dyDescent="0.2">
      <c r="G14" s="227"/>
      <c r="H14" s="227"/>
    </row>
    <row r="15" spans="1:9" ht="24.75" customHeight="1" x14ac:dyDescent="0.2">
      <c r="F15" s="227"/>
    </row>
    <row r="16" spans="1:9" ht="24.75" customHeight="1" x14ac:dyDescent="0.2">
      <c r="F16" s="227"/>
      <c r="I16" s="227"/>
    </row>
    <row r="17" spans="6:6" ht="24.75" customHeight="1" x14ac:dyDescent="0.2">
      <c r="F17" s="227"/>
    </row>
    <row r="18" spans="6:6" ht="24.75" customHeight="1" x14ac:dyDescent="0.2">
      <c r="F18" s="227"/>
    </row>
    <row r="19" spans="6:6" ht="24.75" customHeight="1" x14ac:dyDescent="0.2">
      <c r="F19" s="227"/>
    </row>
    <row r="20" spans="6:6" ht="24.75" customHeight="1" x14ac:dyDescent="0.2">
      <c r="F20" s="227"/>
    </row>
    <row r="21" spans="6:6" ht="24.75" customHeight="1" x14ac:dyDescent="0.2">
      <c r="F21" s="227"/>
    </row>
  </sheetData>
  <mergeCells count="4">
    <mergeCell ref="B4:I4"/>
    <mergeCell ref="B5:I5"/>
    <mergeCell ref="B6:I6"/>
    <mergeCell ref="B3:I3"/>
  </mergeCells>
  <pageMargins left="0.5118110236220472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workbookViewId="0">
      <selection activeCell="F9" sqref="F9"/>
    </sheetView>
  </sheetViews>
  <sheetFormatPr baseColWidth="10" defaultColWidth="9.140625" defaultRowHeight="24.75" customHeight="1" x14ac:dyDescent="0.2"/>
  <cols>
    <col min="1" max="1" width="11.7109375" style="1" customWidth="1"/>
    <col min="2" max="2" width="42.28515625" style="1" customWidth="1"/>
    <col min="3" max="3" width="20" style="1" hidden="1" customWidth="1"/>
    <col min="4" max="4" width="14.140625" style="1" hidden="1" customWidth="1"/>
    <col min="5" max="5" width="14.85546875" style="1" hidden="1" customWidth="1"/>
    <col min="6" max="6" width="18.42578125" style="1" customWidth="1"/>
    <col min="7" max="7" width="15.7109375" style="1" bestFit="1" customWidth="1"/>
    <col min="8" max="8" width="15.85546875" style="1" customWidth="1"/>
    <col min="9" max="16384" width="9.140625" style="1"/>
  </cols>
  <sheetData>
    <row r="3" spans="2:8" ht="24.75" customHeight="1" x14ac:dyDescent="0.25">
      <c r="B3" s="471" t="s">
        <v>214</v>
      </c>
      <c r="C3" s="471"/>
      <c r="D3" s="471"/>
      <c r="E3" s="471"/>
      <c r="F3" s="471"/>
    </row>
    <row r="4" spans="2:8" ht="24.75" customHeight="1" x14ac:dyDescent="0.25">
      <c r="B4" s="471" t="s">
        <v>208</v>
      </c>
      <c r="C4" s="471"/>
      <c r="D4" s="471"/>
      <c r="E4" s="471"/>
      <c r="F4" s="471"/>
    </row>
    <row r="5" spans="2:8" ht="24.75" customHeight="1" x14ac:dyDescent="0.25">
      <c r="B5" s="471" t="s">
        <v>218</v>
      </c>
      <c r="C5" s="471"/>
      <c r="D5" s="471"/>
      <c r="E5" s="471"/>
      <c r="F5" s="471"/>
    </row>
    <row r="6" spans="2:8" ht="24.75" customHeight="1" x14ac:dyDescent="0.25">
      <c r="B6" s="472">
        <v>45291</v>
      </c>
      <c r="C6" s="472"/>
      <c r="D6" s="472"/>
      <c r="E6" s="472"/>
      <c r="F6" s="472"/>
      <c r="G6" s="11"/>
    </row>
    <row r="7" spans="2:8" ht="16.5" customHeight="1" thickBot="1" x14ac:dyDescent="0.25">
      <c r="G7" s="2"/>
    </row>
    <row r="8" spans="2:8" ht="24.75" customHeight="1" thickBot="1" x14ac:dyDescent="0.3">
      <c r="B8" s="412" t="s">
        <v>190</v>
      </c>
      <c r="C8" s="411" t="s">
        <v>194</v>
      </c>
      <c r="E8" s="7"/>
      <c r="F8" s="411" t="s">
        <v>194</v>
      </c>
    </row>
    <row r="9" spans="2:8" ht="24.75" customHeight="1" x14ac:dyDescent="0.2">
      <c r="B9" s="454" t="s">
        <v>296</v>
      </c>
      <c r="C9" s="455">
        <f>337282.94+150156.33</f>
        <v>487439.27</v>
      </c>
      <c r="D9" s="456">
        <f>1026.29+144015.34</f>
        <v>145041.63</v>
      </c>
      <c r="E9" s="456">
        <f>-168740.87-165683.61</f>
        <v>-334424.48</v>
      </c>
      <c r="F9" s="457">
        <v>191680.68</v>
      </c>
      <c r="G9" s="7"/>
    </row>
    <row r="10" spans="2:8" ht="24.75" customHeight="1" x14ac:dyDescent="0.2">
      <c r="B10" s="42" t="s">
        <v>393</v>
      </c>
      <c r="C10" s="96">
        <v>74274.97</v>
      </c>
      <c r="D10" s="1">
        <f>513.14+72007.67</f>
        <v>72520.81</v>
      </c>
      <c r="E10" s="7">
        <f>-74274.97-72520.81</f>
        <v>-146795.78</v>
      </c>
      <c r="F10" s="452">
        <v>95840.34</v>
      </c>
      <c r="G10" s="7"/>
      <c r="H10" s="7"/>
    </row>
    <row r="11" spans="2:8" ht="24.75" customHeight="1" x14ac:dyDescent="0.4">
      <c r="B11" s="44" t="s">
        <v>207</v>
      </c>
      <c r="C11" s="27">
        <f>SUM(C9:C10)</f>
        <v>561714.24</v>
      </c>
      <c r="F11" s="41">
        <f>SUM(F9:F10)</f>
        <v>287521.02</v>
      </c>
    </row>
    <row r="12" spans="2:8" ht="24.75" customHeight="1" thickBot="1" x14ac:dyDescent="0.25">
      <c r="B12" s="51"/>
      <c r="C12" s="141"/>
      <c r="D12" s="458"/>
      <c r="E12" s="458"/>
      <c r="F12" s="133"/>
    </row>
    <row r="13" spans="2:8" ht="24.75" customHeight="1" x14ac:dyDescent="0.2">
      <c r="C13" s="4"/>
      <c r="D13" s="6"/>
    </row>
    <row r="14" spans="2:8" ht="24.75" customHeight="1" x14ac:dyDescent="0.2">
      <c r="C14" s="4"/>
      <c r="E14" s="7"/>
    </row>
    <row r="15" spans="2:8" ht="24.75" customHeight="1" x14ac:dyDescent="0.2">
      <c r="C15" s="4"/>
      <c r="E15" s="7"/>
    </row>
    <row r="16" spans="2:8" ht="24.75" customHeight="1" x14ac:dyDescent="0.2">
      <c r="C16" s="4"/>
    </row>
    <row r="17" spans="3:3" ht="24.75" customHeight="1" x14ac:dyDescent="0.2">
      <c r="C17" s="4"/>
    </row>
    <row r="18" spans="3:3" ht="24.75" customHeight="1" x14ac:dyDescent="0.2">
      <c r="C18" s="4"/>
    </row>
    <row r="19" spans="3:3" ht="24.75" customHeight="1" x14ac:dyDescent="0.2">
      <c r="C19" s="4"/>
    </row>
    <row r="20" spans="3:3" ht="24.75" customHeight="1" x14ac:dyDescent="0.35">
      <c r="C20" s="95"/>
    </row>
    <row r="21" spans="3:3" ht="24.75" customHeight="1" x14ac:dyDescent="0.2">
      <c r="C21" s="6"/>
    </row>
  </sheetData>
  <mergeCells count="4">
    <mergeCell ref="B4:F4"/>
    <mergeCell ref="B5:F5"/>
    <mergeCell ref="B6:F6"/>
    <mergeCell ref="B3:F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51"/>
  <sheetViews>
    <sheetView topLeftCell="A7" zoomScaleNormal="100" workbookViewId="0">
      <selection activeCell="B18" sqref="B18"/>
    </sheetView>
  </sheetViews>
  <sheetFormatPr baseColWidth="10" defaultRowHeight="24.75" customHeight="1" x14ac:dyDescent="0.2"/>
  <cols>
    <col min="1" max="1" width="4.140625" style="1" customWidth="1"/>
    <col min="2" max="2" width="44.85546875" style="1" bestFit="1" customWidth="1"/>
    <col min="3" max="3" width="40" style="1" customWidth="1"/>
    <col min="4" max="4" width="22.85546875" style="1" customWidth="1"/>
    <col min="5" max="5" width="6.7109375" style="1" customWidth="1"/>
    <col min="6" max="6" width="17.140625" style="1" customWidth="1"/>
    <col min="7" max="7" width="18.140625" style="2" customWidth="1"/>
    <col min="8" max="8" width="11.42578125" style="1" customWidth="1"/>
    <col min="9" max="9" width="17.42578125" style="2" customWidth="1"/>
    <col min="10" max="16384" width="11.42578125" style="1"/>
  </cols>
  <sheetData>
    <row r="3" spans="2:9" ht="24.75" customHeight="1" x14ac:dyDescent="0.25">
      <c r="B3" s="471" t="s">
        <v>307</v>
      </c>
      <c r="C3" s="471"/>
      <c r="E3" s="73"/>
    </row>
    <row r="4" spans="2:9" ht="24.75" customHeight="1" x14ac:dyDescent="0.25">
      <c r="B4" s="471" t="s">
        <v>208</v>
      </c>
      <c r="C4" s="471"/>
      <c r="E4" s="73"/>
    </row>
    <row r="5" spans="2:9" ht="24.75" customHeight="1" x14ac:dyDescent="0.25">
      <c r="B5" s="471" t="s">
        <v>950</v>
      </c>
      <c r="C5" s="471"/>
      <c r="E5" s="73"/>
      <c r="F5" s="9"/>
    </row>
    <row r="6" spans="2:9" ht="24.75" customHeight="1" x14ac:dyDescent="0.25">
      <c r="B6" s="472">
        <v>45291</v>
      </c>
      <c r="C6" s="472"/>
      <c r="E6" s="73"/>
      <c r="F6" s="9"/>
    </row>
    <row r="7" spans="2:9" ht="24.75" customHeight="1" thickBot="1" x14ac:dyDescent="0.3">
      <c r="B7" s="24"/>
      <c r="C7" s="24"/>
      <c r="E7" s="73"/>
      <c r="F7" s="9"/>
    </row>
    <row r="8" spans="2:9" ht="24.75" customHeight="1" thickBot="1" x14ac:dyDescent="0.3">
      <c r="B8" s="30" t="s">
        <v>308</v>
      </c>
      <c r="C8" s="31" t="s">
        <v>194</v>
      </c>
      <c r="E8" s="73"/>
      <c r="F8" s="9"/>
    </row>
    <row r="9" spans="2:9" ht="24.75" customHeight="1" x14ac:dyDescent="0.25">
      <c r="B9" s="410" t="s">
        <v>305</v>
      </c>
      <c r="C9" s="75"/>
      <c r="E9" s="73"/>
      <c r="F9" s="97">
        <v>28490621.890000001</v>
      </c>
      <c r="G9" s="2" t="s">
        <v>868</v>
      </c>
      <c r="I9" s="2">
        <v>13079.77</v>
      </c>
    </row>
    <row r="10" spans="2:9" ht="24.75" customHeight="1" x14ac:dyDescent="0.25">
      <c r="B10" s="74" t="s">
        <v>884</v>
      </c>
      <c r="C10" s="75">
        <v>799226.84</v>
      </c>
      <c r="E10" s="73"/>
      <c r="F10" s="97"/>
    </row>
    <row r="11" spans="2:9" ht="24.75" customHeight="1" x14ac:dyDescent="0.25">
      <c r="B11" s="74" t="s">
        <v>885</v>
      </c>
      <c r="C11" s="75">
        <v>400818.79</v>
      </c>
      <c r="E11" s="73"/>
      <c r="F11" s="97"/>
    </row>
    <row r="12" spans="2:9" ht="24.75" customHeight="1" x14ac:dyDescent="0.25">
      <c r="B12" s="74" t="s">
        <v>886</v>
      </c>
      <c r="C12" s="75">
        <v>588061.44999999995</v>
      </c>
      <c r="E12" s="73"/>
      <c r="F12" s="97"/>
    </row>
    <row r="13" spans="2:9" ht="24.75" customHeight="1" x14ac:dyDescent="0.25">
      <c r="B13" s="74" t="s">
        <v>887</v>
      </c>
      <c r="C13" s="75">
        <v>227840.21</v>
      </c>
      <c r="E13" s="73"/>
      <c r="F13" s="97"/>
    </row>
    <row r="14" spans="2:9" ht="24.75" customHeight="1" x14ac:dyDescent="0.25">
      <c r="B14" s="74" t="s">
        <v>894</v>
      </c>
      <c r="C14" s="75">
        <v>5873317.4199999999</v>
      </c>
      <c r="E14" s="73"/>
      <c r="F14" s="97"/>
    </row>
    <row r="15" spans="2:9" ht="24.75" customHeight="1" x14ac:dyDescent="0.35">
      <c r="B15" s="74" t="s">
        <v>895</v>
      </c>
      <c r="C15" s="440">
        <v>6014127.5499999998</v>
      </c>
      <c r="E15" s="73"/>
      <c r="F15" s="97"/>
    </row>
    <row r="16" spans="2:9" ht="24.75" customHeight="1" x14ac:dyDescent="0.25">
      <c r="B16" s="438" t="s">
        <v>892</v>
      </c>
      <c r="C16" s="439">
        <f>SUM(C10:C15)</f>
        <v>13903392.26</v>
      </c>
      <c r="E16" s="73"/>
      <c r="F16" s="97"/>
    </row>
    <row r="17" spans="2:9" ht="24.75" customHeight="1" x14ac:dyDescent="0.25">
      <c r="B17" s="436"/>
      <c r="C17" s="437"/>
      <c r="E17" s="73"/>
      <c r="F17" s="97"/>
    </row>
    <row r="18" spans="2:9" ht="24.75" customHeight="1" x14ac:dyDescent="0.25">
      <c r="B18" s="79" t="s">
        <v>306</v>
      </c>
      <c r="C18" s="77"/>
      <c r="E18" s="73"/>
      <c r="F18" s="97">
        <v>28411890.25</v>
      </c>
      <c r="G18" s="2" t="s">
        <v>869</v>
      </c>
      <c r="I18" s="2">
        <v>14709.8</v>
      </c>
    </row>
    <row r="19" spans="2:9" ht="24.75" customHeight="1" x14ac:dyDescent="0.25">
      <c r="B19" s="76" t="s">
        <v>888</v>
      </c>
      <c r="C19" s="77">
        <v>80164.72</v>
      </c>
      <c r="E19" s="73"/>
      <c r="F19" s="97"/>
    </row>
    <row r="20" spans="2:9" ht="24.75" customHeight="1" x14ac:dyDescent="0.25">
      <c r="B20" s="76" t="s">
        <v>889</v>
      </c>
      <c r="C20" s="77">
        <v>194717.63</v>
      </c>
      <c r="E20" s="73"/>
      <c r="F20" s="97"/>
    </row>
    <row r="21" spans="2:9" ht="24.75" customHeight="1" x14ac:dyDescent="0.25">
      <c r="B21" s="76" t="s">
        <v>890</v>
      </c>
      <c r="C21" s="77">
        <v>284246.46000000002</v>
      </c>
      <c r="E21" s="73"/>
      <c r="F21" s="97"/>
    </row>
    <row r="22" spans="2:9" ht="24.75" customHeight="1" x14ac:dyDescent="0.35">
      <c r="B22" s="76" t="s">
        <v>891</v>
      </c>
      <c r="C22" s="78">
        <v>183152.72</v>
      </c>
      <c r="E22" s="73"/>
      <c r="F22" s="97"/>
    </row>
    <row r="23" spans="2:9" ht="24.75" customHeight="1" x14ac:dyDescent="0.55000000000000004">
      <c r="B23" s="438" t="s">
        <v>893</v>
      </c>
      <c r="C23" s="441">
        <f>SUM(C19:C22)</f>
        <v>742281.53</v>
      </c>
      <c r="E23" s="73"/>
      <c r="F23" s="97"/>
    </row>
    <row r="24" spans="2:9" ht="24.75" customHeight="1" x14ac:dyDescent="0.25">
      <c r="B24" s="436"/>
      <c r="C24" s="437"/>
      <c r="E24" s="73"/>
      <c r="F24" s="97"/>
    </row>
    <row r="25" spans="2:9" ht="21" thickBot="1" x14ac:dyDescent="0.45">
      <c r="B25" s="434" t="s">
        <v>207</v>
      </c>
      <c r="C25" s="435">
        <f>+C16+C23</f>
        <v>14645673.789999999</v>
      </c>
      <c r="E25" s="73"/>
      <c r="F25" s="400">
        <f>+F9-F18</f>
        <v>78731.640000000596</v>
      </c>
      <c r="G25" s="2" t="s">
        <v>870</v>
      </c>
      <c r="I25" s="2">
        <v>20942.07</v>
      </c>
    </row>
    <row r="26" spans="2:9" ht="24.75" customHeight="1" thickTop="1" thickBot="1" x14ac:dyDescent="0.3">
      <c r="B26" s="80"/>
      <c r="C26" s="81"/>
      <c r="E26" s="73"/>
      <c r="F26" s="97"/>
      <c r="I26" s="2">
        <v>21930</v>
      </c>
    </row>
    <row r="27" spans="2:9" ht="24.75" customHeight="1" x14ac:dyDescent="0.25">
      <c r="F27" s="97"/>
      <c r="I27" s="2">
        <v>21930</v>
      </c>
    </row>
    <row r="28" spans="2:9" ht="24.75" customHeight="1" x14ac:dyDescent="0.25">
      <c r="F28" s="97"/>
    </row>
    <row r="29" spans="2:9" ht="24.75" customHeight="1" x14ac:dyDescent="0.25">
      <c r="F29" s="97"/>
      <c r="I29" s="2">
        <f>SUM(I9:I28)</f>
        <v>92591.64</v>
      </c>
    </row>
    <row r="30" spans="2:9" ht="24.75" customHeight="1" x14ac:dyDescent="0.25">
      <c r="C30" s="2"/>
      <c r="D30" s="2"/>
      <c r="E30" s="2"/>
      <c r="F30" s="97"/>
    </row>
    <row r="31" spans="2:9" ht="24.75" customHeight="1" x14ac:dyDescent="0.25">
      <c r="C31" s="2"/>
      <c r="D31" s="2"/>
      <c r="E31" s="2"/>
      <c r="F31" s="97"/>
    </row>
    <row r="32" spans="2:9" ht="24.75" customHeight="1" x14ac:dyDescent="0.25">
      <c r="C32" s="2"/>
      <c r="D32" s="2"/>
      <c r="E32" s="2"/>
      <c r="F32" s="97"/>
    </row>
    <row r="33" spans="3:5" ht="24.75" customHeight="1" x14ac:dyDescent="0.2">
      <c r="C33" s="2"/>
      <c r="D33" s="2"/>
      <c r="E33" s="2"/>
    </row>
    <row r="34" spans="3:5" ht="24.75" customHeight="1" x14ac:dyDescent="0.2">
      <c r="C34" s="2"/>
      <c r="D34" s="2"/>
      <c r="E34" s="2"/>
    </row>
    <row r="35" spans="3:5" ht="24.75" customHeight="1" x14ac:dyDescent="0.2">
      <c r="C35" s="2"/>
      <c r="D35" s="2"/>
      <c r="E35" s="2"/>
    </row>
    <row r="36" spans="3:5" ht="24.75" customHeight="1" x14ac:dyDescent="0.2">
      <c r="C36" s="2"/>
      <c r="D36" s="2"/>
      <c r="E36" s="2"/>
    </row>
    <row r="37" spans="3:5" ht="24.75" customHeight="1" x14ac:dyDescent="0.2">
      <c r="C37" s="2"/>
      <c r="D37" s="2"/>
      <c r="E37" s="2"/>
    </row>
    <row r="38" spans="3:5" ht="24.75" customHeight="1" x14ac:dyDescent="0.2">
      <c r="C38" s="2"/>
      <c r="D38" s="2"/>
      <c r="E38" s="2"/>
    </row>
    <row r="39" spans="3:5" ht="24.75" customHeight="1" x14ac:dyDescent="0.2">
      <c r="C39" s="2"/>
      <c r="D39" s="2"/>
      <c r="E39" s="2"/>
    </row>
    <row r="40" spans="3:5" ht="24.75" customHeight="1" x14ac:dyDescent="0.2">
      <c r="C40" s="2"/>
      <c r="D40" s="2"/>
      <c r="E40" s="2"/>
    </row>
    <row r="41" spans="3:5" ht="24.75" customHeight="1" x14ac:dyDescent="0.2">
      <c r="C41" s="2"/>
      <c r="D41" s="2"/>
      <c r="E41" s="2"/>
    </row>
    <row r="42" spans="3:5" ht="24.75" customHeight="1" x14ac:dyDescent="0.2">
      <c r="C42" s="2"/>
      <c r="D42" s="2"/>
      <c r="E42" s="2"/>
    </row>
    <row r="43" spans="3:5" ht="24.75" customHeight="1" x14ac:dyDescent="0.2">
      <c r="C43" s="2"/>
      <c r="D43" s="2"/>
      <c r="E43" s="2"/>
    </row>
    <row r="44" spans="3:5" ht="24.75" customHeight="1" x14ac:dyDescent="0.2">
      <c r="C44" s="2"/>
      <c r="D44" s="2"/>
      <c r="E44" s="2"/>
    </row>
    <row r="45" spans="3:5" ht="24.75" customHeight="1" x14ac:dyDescent="0.2">
      <c r="C45" s="2"/>
      <c r="D45" s="2"/>
      <c r="E45" s="2"/>
    </row>
    <row r="46" spans="3:5" ht="24.75" customHeight="1" x14ac:dyDescent="0.2">
      <c r="C46" s="2"/>
      <c r="D46" s="2"/>
      <c r="E46" s="2"/>
    </row>
    <row r="47" spans="3:5" ht="24.75" customHeight="1" x14ac:dyDescent="0.2">
      <c r="C47" s="2"/>
      <c r="D47" s="2"/>
      <c r="E47" s="2"/>
    </row>
    <row r="48" spans="3:5" ht="24.75" customHeight="1" x14ac:dyDescent="0.2">
      <c r="C48" s="2"/>
      <c r="D48" s="2"/>
      <c r="E48" s="2"/>
    </row>
    <row r="49" spans="3:5" ht="24.75" customHeight="1" x14ac:dyDescent="0.2">
      <c r="C49" s="2"/>
      <c r="D49" s="2"/>
      <c r="E49" s="2"/>
    </row>
    <row r="50" spans="3:5" ht="24.75" customHeight="1" x14ac:dyDescent="0.2">
      <c r="C50" s="2"/>
      <c r="D50" s="2"/>
      <c r="E50" s="2"/>
    </row>
    <row r="51" spans="3:5" ht="24.75" customHeight="1" x14ac:dyDescent="0.2">
      <c r="C51" s="2"/>
      <c r="D51" s="2"/>
      <c r="E51" s="2"/>
    </row>
  </sheetData>
  <mergeCells count="4">
    <mergeCell ref="B5:C5"/>
    <mergeCell ref="B6:C6"/>
    <mergeCell ref="B4:C4"/>
    <mergeCell ref="B3:C3"/>
  </mergeCells>
  <phoneticPr fontId="10" type="noConversion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9"/>
  <sheetViews>
    <sheetView topLeftCell="A12" workbookViewId="0">
      <selection activeCell="B20" sqref="B20:C20"/>
    </sheetView>
  </sheetViews>
  <sheetFormatPr baseColWidth="10" defaultRowHeight="24.75" customHeight="1" x14ac:dyDescent="0.2"/>
  <cols>
    <col min="1" max="1" width="10.140625" style="1" customWidth="1"/>
    <col min="2" max="2" width="35.28515625" style="1" customWidth="1"/>
    <col min="3" max="3" width="24.7109375" style="1" customWidth="1"/>
    <col min="4" max="16384" width="11.42578125" style="1"/>
  </cols>
  <sheetData>
    <row r="3" spans="2:9" ht="24.75" customHeight="1" x14ac:dyDescent="0.25">
      <c r="B3" s="471" t="s">
        <v>219</v>
      </c>
      <c r="C3" s="471"/>
    </row>
    <row r="4" spans="2:9" ht="30" customHeight="1" x14ac:dyDescent="0.25">
      <c r="B4" s="471" t="s">
        <v>208</v>
      </c>
      <c r="C4" s="471"/>
    </row>
    <row r="5" spans="2:9" ht="31.5" customHeight="1" x14ac:dyDescent="0.25">
      <c r="B5" s="481" t="s">
        <v>477</v>
      </c>
      <c r="C5" s="481"/>
      <c r="H5" s="9"/>
      <c r="I5" s="9"/>
    </row>
    <row r="6" spans="2:9" ht="24.75" customHeight="1" x14ac:dyDescent="0.25">
      <c r="B6" s="472">
        <v>45291</v>
      </c>
      <c r="C6" s="472"/>
    </row>
    <row r="7" spans="2:9" ht="24.75" customHeight="1" thickBot="1" x14ac:dyDescent="0.3">
      <c r="B7" s="24"/>
      <c r="C7" s="24"/>
    </row>
    <row r="8" spans="2:9" ht="24.75" customHeight="1" thickBot="1" x14ac:dyDescent="0.3">
      <c r="B8" s="30" t="s">
        <v>221</v>
      </c>
      <c r="C8" s="31" t="s">
        <v>194</v>
      </c>
    </row>
    <row r="9" spans="2:9" ht="24.75" customHeight="1" x14ac:dyDescent="0.2">
      <c r="B9" s="74" t="s">
        <v>320</v>
      </c>
      <c r="C9" s="75">
        <f>+'NOTA 5-SEG PAG X ANT'!F56</f>
        <v>815675.44</v>
      </c>
    </row>
    <row r="10" spans="2:9" ht="24.75" customHeight="1" x14ac:dyDescent="0.2">
      <c r="B10" s="74" t="s">
        <v>802</v>
      </c>
      <c r="C10" s="75">
        <f>+'NOTA 5 - LIC MS 365 AMORTIZ'!F42</f>
        <v>111863.37000000034</v>
      </c>
    </row>
    <row r="11" spans="2:9" ht="24.75" customHeight="1" x14ac:dyDescent="0.2">
      <c r="B11" s="76" t="s">
        <v>744</v>
      </c>
      <c r="C11" s="77">
        <f>+'NOTA 5 LICENCIAS JIRA'!F44</f>
        <v>593333.32000000007</v>
      </c>
    </row>
    <row r="12" spans="2:9" ht="24.75" customHeight="1" x14ac:dyDescent="0.35">
      <c r="B12" s="76" t="s">
        <v>847</v>
      </c>
      <c r="C12" s="78">
        <f>+'NOTA 5 Licencias Adobe'!F43</f>
        <v>246900.00750000001</v>
      </c>
    </row>
    <row r="13" spans="2:9" ht="24.75" customHeight="1" x14ac:dyDescent="0.4">
      <c r="B13" s="79" t="s">
        <v>207</v>
      </c>
      <c r="C13" s="92">
        <f>SUM(C9:C12)</f>
        <v>1767772.1375000004</v>
      </c>
    </row>
    <row r="14" spans="2:9" ht="15.75" thickBot="1" x14ac:dyDescent="0.25">
      <c r="B14" s="80"/>
      <c r="C14" s="81"/>
    </row>
    <row r="15" spans="2:9" ht="18" customHeight="1" x14ac:dyDescent="0.2">
      <c r="B15" s="414"/>
      <c r="C15" s="414"/>
    </row>
    <row r="16" spans="2:9" ht="18" customHeight="1" x14ac:dyDescent="0.2">
      <c r="B16" s="414"/>
      <c r="C16" s="414"/>
    </row>
    <row r="17" spans="2:3" ht="18" customHeight="1" x14ac:dyDescent="0.2">
      <c r="B17" s="414"/>
      <c r="C17" s="414"/>
    </row>
    <row r="18" spans="2:3" ht="18" customHeight="1" x14ac:dyDescent="0.2">
      <c r="B18" s="414"/>
      <c r="C18" s="414"/>
    </row>
    <row r="19" spans="2:3" ht="18" customHeight="1" x14ac:dyDescent="0.2">
      <c r="B19" s="414"/>
      <c r="C19" s="414"/>
    </row>
    <row r="20" spans="2:3" ht="24.75" customHeight="1" x14ac:dyDescent="0.25">
      <c r="B20" s="471" t="s">
        <v>926</v>
      </c>
      <c r="C20" s="471"/>
    </row>
    <row r="21" spans="2:3" ht="24.75" customHeight="1" x14ac:dyDescent="0.25">
      <c r="B21" s="471" t="s">
        <v>208</v>
      </c>
      <c r="C21" s="471"/>
    </row>
    <row r="22" spans="2:3" ht="24.75" customHeight="1" x14ac:dyDescent="0.25">
      <c r="B22" s="481" t="s">
        <v>959</v>
      </c>
      <c r="C22" s="481"/>
    </row>
    <row r="23" spans="2:3" ht="24.75" customHeight="1" x14ac:dyDescent="0.25">
      <c r="B23" s="472">
        <v>45291</v>
      </c>
      <c r="C23" s="472"/>
    </row>
    <row r="24" spans="2:3" ht="24.75" customHeight="1" thickBot="1" x14ac:dyDescent="0.3">
      <c r="B24" s="24"/>
      <c r="C24" s="24"/>
    </row>
    <row r="25" spans="2:3" ht="24.75" customHeight="1" thickBot="1" x14ac:dyDescent="0.3">
      <c r="B25" s="30" t="s">
        <v>221</v>
      </c>
      <c r="C25" s="31" t="s">
        <v>194</v>
      </c>
    </row>
    <row r="26" spans="2:3" ht="24.75" customHeight="1" x14ac:dyDescent="0.35">
      <c r="B26" s="76" t="s">
        <v>807</v>
      </c>
      <c r="C26" s="78">
        <v>40000000</v>
      </c>
    </row>
    <row r="27" spans="2:3" ht="24.75" customHeight="1" x14ac:dyDescent="0.4">
      <c r="B27" s="79" t="s">
        <v>207</v>
      </c>
      <c r="C27" s="92">
        <f>SUM(C26:C26)</f>
        <v>40000000</v>
      </c>
    </row>
    <row r="28" spans="2:3" ht="24.75" customHeight="1" thickBot="1" x14ac:dyDescent="0.25">
      <c r="B28" s="80"/>
      <c r="C28" s="81"/>
    </row>
    <row r="29" spans="2:3" ht="24.75" customHeight="1" x14ac:dyDescent="0.2">
      <c r="C29" s="6"/>
    </row>
    <row r="30" spans="2:3" ht="24.75" customHeight="1" x14ac:dyDescent="0.2">
      <c r="C30" s="6"/>
    </row>
    <row r="31" spans="2:3" ht="24.75" customHeight="1" x14ac:dyDescent="0.2">
      <c r="C31" s="6"/>
    </row>
    <row r="32" spans="2:3" ht="24.75" hidden="1" customHeight="1" x14ac:dyDescent="0.2">
      <c r="B32" s="1" t="s">
        <v>908</v>
      </c>
      <c r="C32" s="6">
        <f>-'NOTA 5-SEG PAG X ANT'!F50</f>
        <v>-163135.06</v>
      </c>
    </row>
    <row r="33" spans="2:3" ht="24.75" hidden="1" customHeight="1" x14ac:dyDescent="0.2">
      <c r="B33" s="1" t="s">
        <v>909</v>
      </c>
      <c r="C33" s="6">
        <f>-'NOTA 5 - LIC MS 365 AMORTIZ'!F37</f>
        <v>-157883.71</v>
      </c>
    </row>
    <row r="34" spans="2:3" ht="24.75" hidden="1" customHeight="1" x14ac:dyDescent="0.2">
      <c r="B34" s="1" t="s">
        <v>910</v>
      </c>
      <c r="C34" s="6">
        <f>-'NOTA 5 LICENCIAS JIRA'!F33</f>
        <v>-74166.67</v>
      </c>
    </row>
    <row r="35" spans="2:3" ht="24.75" hidden="1" customHeight="1" x14ac:dyDescent="0.2">
      <c r="B35" s="1" t="s">
        <v>911</v>
      </c>
      <c r="C35" s="6">
        <f>-'NOTA 5 Licencias Adobe'!F32</f>
        <v>-27433.334166666667</v>
      </c>
    </row>
    <row r="36" spans="2:3" ht="24.75" hidden="1" customHeight="1" x14ac:dyDescent="0.2">
      <c r="B36" s="1" t="s">
        <v>912</v>
      </c>
      <c r="C36" s="6">
        <v>-278983.06</v>
      </c>
    </row>
    <row r="37" spans="2:3" ht="24.75" hidden="1" customHeight="1" thickBot="1" x14ac:dyDescent="0.25">
      <c r="B37" s="1" t="s">
        <v>913</v>
      </c>
      <c r="C37" s="407">
        <f>SUM(C31:C36)</f>
        <v>-701601.83416666673</v>
      </c>
    </row>
    <row r="38" spans="2:3" ht="24.75" hidden="1" customHeight="1" thickTop="1" x14ac:dyDescent="0.2"/>
    <row r="39" spans="2:3" ht="24.75" customHeight="1" x14ac:dyDescent="0.2">
      <c r="C39" s="6"/>
    </row>
  </sheetData>
  <mergeCells count="8">
    <mergeCell ref="B22:C22"/>
    <mergeCell ref="B23:C23"/>
    <mergeCell ref="B20:C20"/>
    <mergeCell ref="B21:C21"/>
    <mergeCell ref="B3:C3"/>
    <mergeCell ref="B5:C5"/>
    <mergeCell ref="B6:C6"/>
    <mergeCell ref="B4:C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58"/>
  <sheetViews>
    <sheetView topLeftCell="A13" zoomScale="110" zoomScaleNormal="110" workbookViewId="0">
      <selection activeCell="F56" sqref="F50:F56"/>
    </sheetView>
  </sheetViews>
  <sheetFormatPr baseColWidth="10" defaultColWidth="11.5703125" defaultRowHeight="15" x14ac:dyDescent="0.2"/>
  <cols>
    <col min="1" max="1" width="11.5703125" style="1" customWidth="1"/>
    <col min="2" max="2" width="24.5703125" style="1" customWidth="1"/>
    <col min="3" max="3" width="12" style="1" customWidth="1"/>
    <col min="4" max="4" width="19.28515625" style="1" bestFit="1" customWidth="1"/>
    <col min="5" max="5" width="11.5703125" style="1" customWidth="1"/>
    <col min="6" max="6" width="15.85546875" style="1" customWidth="1"/>
    <col min="7" max="16384" width="11.5703125" style="1"/>
  </cols>
  <sheetData>
    <row r="4" spans="2:6" ht="15.75" x14ac:dyDescent="0.25">
      <c r="B4" s="471" t="s">
        <v>219</v>
      </c>
      <c r="C4" s="471"/>
      <c r="D4" s="471"/>
      <c r="E4" s="471"/>
      <c r="F4" s="471"/>
    </row>
    <row r="5" spans="2:6" ht="15.75" x14ac:dyDescent="0.25">
      <c r="B5" s="471" t="s">
        <v>208</v>
      </c>
      <c r="C5" s="471"/>
      <c r="D5" s="471"/>
      <c r="E5" s="471"/>
      <c r="F5" s="471"/>
    </row>
    <row r="6" spans="2:6" ht="15.75" x14ac:dyDescent="0.25">
      <c r="B6" s="471" t="s">
        <v>248</v>
      </c>
      <c r="C6" s="471"/>
      <c r="D6" s="471"/>
      <c r="E6" s="471"/>
      <c r="F6" s="471"/>
    </row>
    <row r="7" spans="2:6" ht="15.75" x14ac:dyDescent="0.25">
      <c r="B7" s="482">
        <v>45291</v>
      </c>
      <c r="C7" s="482"/>
      <c r="D7" s="482"/>
      <c r="E7" s="482"/>
      <c r="F7" s="482"/>
    </row>
    <row r="9" spans="2:6" ht="23.25" customHeight="1" x14ac:dyDescent="0.2">
      <c r="B9" s="465" t="s">
        <v>897</v>
      </c>
      <c r="C9" s="465"/>
      <c r="D9" s="465"/>
      <c r="E9" s="465"/>
      <c r="F9" s="465"/>
    </row>
    <row r="10" spans="2:6" ht="23.25" customHeight="1" x14ac:dyDescent="0.25">
      <c r="B10" s="465" t="s">
        <v>396</v>
      </c>
      <c r="C10" s="465"/>
      <c r="D10" s="465"/>
      <c r="E10" s="465"/>
      <c r="F10" s="465"/>
    </row>
    <row r="11" spans="2:6" ht="23.25" customHeight="1" x14ac:dyDescent="0.25">
      <c r="B11" s="465" t="s">
        <v>397</v>
      </c>
      <c r="C11" s="465"/>
      <c r="D11" s="465"/>
      <c r="E11" s="465"/>
      <c r="F11" s="465"/>
    </row>
    <row r="12" spans="2:6" ht="23.25" customHeight="1" x14ac:dyDescent="0.2">
      <c r="B12" s="14"/>
      <c r="C12" s="14"/>
      <c r="D12" s="14"/>
      <c r="E12" s="14"/>
      <c r="F12" s="14"/>
    </row>
    <row r="13" spans="2:6" ht="18" customHeight="1" thickBot="1" x14ac:dyDescent="0.3">
      <c r="B13" s="90" t="s">
        <v>185</v>
      </c>
      <c r="C13" s="90"/>
      <c r="D13" s="90" t="s">
        <v>249</v>
      </c>
      <c r="E13" s="90"/>
      <c r="F13" s="98" t="s">
        <v>400</v>
      </c>
    </row>
    <row r="14" spans="2:6" x14ac:dyDescent="0.2">
      <c r="B14" s="99" t="s">
        <v>902</v>
      </c>
      <c r="D14" s="1" t="s">
        <v>198</v>
      </c>
      <c r="F14" s="100">
        <v>606725.53</v>
      </c>
    </row>
    <row r="15" spans="2:6" x14ac:dyDescent="0.2">
      <c r="B15" s="99" t="s">
        <v>898</v>
      </c>
      <c r="D15" s="1" t="s">
        <v>199</v>
      </c>
      <c r="F15" s="100">
        <v>296873</v>
      </c>
    </row>
    <row r="16" spans="2:6" x14ac:dyDescent="0.2">
      <c r="B16" s="99" t="s">
        <v>899</v>
      </c>
      <c r="D16" s="1" t="s">
        <v>200</v>
      </c>
      <c r="F16" s="100">
        <v>5800</v>
      </c>
    </row>
    <row r="17" spans="2:7" x14ac:dyDescent="0.2">
      <c r="B17" s="99" t="s">
        <v>901</v>
      </c>
      <c r="D17" s="1" t="s">
        <v>201</v>
      </c>
      <c r="F17" s="100">
        <v>23964.99</v>
      </c>
    </row>
    <row r="18" spans="2:7" x14ac:dyDescent="0.2">
      <c r="B18" s="99" t="s">
        <v>900</v>
      </c>
      <c r="D18" s="1" t="s">
        <v>202</v>
      </c>
      <c r="F18" s="100">
        <v>32103.05</v>
      </c>
    </row>
    <row r="19" spans="2:7" x14ac:dyDescent="0.2">
      <c r="B19" s="99" t="s">
        <v>903</v>
      </c>
      <c r="D19" s="1" t="s">
        <v>203</v>
      </c>
      <c r="F19" s="100">
        <v>20880</v>
      </c>
    </row>
    <row r="20" spans="2:7" ht="17.25" x14ac:dyDescent="0.35">
      <c r="B20" s="99" t="s">
        <v>205</v>
      </c>
      <c r="F20" s="107">
        <f>-986346.57+978810.5</f>
        <v>-7536.0699999999488</v>
      </c>
    </row>
    <row r="21" spans="2:7" ht="18" x14ac:dyDescent="0.4">
      <c r="B21" s="101" t="s">
        <v>161</v>
      </c>
      <c r="C21" s="50"/>
      <c r="D21" s="50"/>
      <c r="E21" s="50"/>
      <c r="F21" s="102">
        <f>SUM(F14:F20)</f>
        <v>978810.50000000012</v>
      </c>
    </row>
    <row r="22" spans="2:7" x14ac:dyDescent="0.2">
      <c r="F22" s="4"/>
    </row>
    <row r="23" spans="2:7" x14ac:dyDescent="0.2">
      <c r="B23" s="103" t="s">
        <v>904</v>
      </c>
      <c r="C23" s="104"/>
      <c r="D23" s="104"/>
      <c r="E23" s="104"/>
      <c r="F23" s="105">
        <v>978810.5</v>
      </c>
    </row>
    <row r="24" spans="2:7" ht="17.25" x14ac:dyDescent="0.35">
      <c r="B24" s="106"/>
      <c r="F24" s="107"/>
    </row>
    <row r="25" spans="2:7" ht="18" x14ac:dyDescent="0.4">
      <c r="B25" s="108" t="s">
        <v>398</v>
      </c>
      <c r="C25" s="109"/>
      <c r="D25" s="109"/>
      <c r="E25" s="109"/>
      <c r="F25" s="110">
        <f>SUM(F23:F24)</f>
        <v>978810.5</v>
      </c>
    </row>
    <row r="26" spans="2:7" x14ac:dyDescent="0.2">
      <c r="F26" s="4"/>
    </row>
    <row r="27" spans="2:7" x14ac:dyDescent="0.2">
      <c r="F27" s="2"/>
    </row>
    <row r="28" spans="2:7" x14ac:dyDescent="0.2">
      <c r="B28" s="111" t="s">
        <v>204</v>
      </c>
      <c r="C28" s="111"/>
      <c r="D28" s="111"/>
      <c r="E28" s="111"/>
      <c r="F28" s="112">
        <f>+F21/12</f>
        <v>81567.541666666672</v>
      </c>
    </row>
    <row r="29" spans="2:7" x14ac:dyDescent="0.2">
      <c r="F29" s="2"/>
    </row>
    <row r="30" spans="2:7" x14ac:dyDescent="0.2">
      <c r="B30" s="1" t="s">
        <v>951</v>
      </c>
      <c r="D30" s="1">
        <v>2</v>
      </c>
      <c r="F30" s="2">
        <f>+F28*D30</f>
        <v>163135.08333333334</v>
      </c>
      <c r="G30" s="6"/>
    </row>
    <row r="31" spans="2:7" x14ac:dyDescent="0.2">
      <c r="F31" s="2"/>
    </row>
    <row r="32" spans="2:7" x14ac:dyDescent="0.2">
      <c r="B32" s="1" t="s">
        <v>952</v>
      </c>
      <c r="D32" s="1">
        <v>3</v>
      </c>
      <c r="F32" s="2">
        <f>+D32*F28</f>
        <v>244702.625</v>
      </c>
      <c r="G32" s="6"/>
    </row>
    <row r="33" spans="2:7" x14ac:dyDescent="0.2">
      <c r="F33" s="2"/>
    </row>
    <row r="34" spans="2:7" x14ac:dyDescent="0.2">
      <c r="B34" s="1" t="s">
        <v>953</v>
      </c>
      <c r="D34" s="1">
        <v>7</v>
      </c>
      <c r="F34" s="2">
        <f>+D34*F28</f>
        <v>570972.79166666674</v>
      </c>
      <c r="G34" s="6"/>
    </row>
    <row r="35" spans="2:7" x14ac:dyDescent="0.2">
      <c r="F35" s="2"/>
    </row>
    <row r="36" spans="2:7" x14ac:dyDescent="0.2">
      <c r="F36" s="2"/>
    </row>
    <row r="37" spans="2:7" x14ac:dyDescent="0.2">
      <c r="B37" s="59" t="s">
        <v>905</v>
      </c>
      <c r="C37" s="59"/>
      <c r="D37" s="59"/>
      <c r="E37" s="59"/>
      <c r="F37" s="18">
        <v>81567.539999999994</v>
      </c>
      <c r="G37" s="6"/>
    </row>
    <row r="38" spans="2:7" x14ac:dyDescent="0.2">
      <c r="B38" s="59" t="s">
        <v>906</v>
      </c>
      <c r="C38" s="59"/>
      <c r="D38" s="59"/>
      <c r="E38" s="59"/>
      <c r="F38" s="18">
        <f>+F37</f>
        <v>81567.539999999994</v>
      </c>
    </row>
    <row r="39" spans="2:7" hidden="1" x14ac:dyDescent="0.2">
      <c r="B39" s="1" t="s">
        <v>907</v>
      </c>
      <c r="F39" s="2"/>
    </row>
    <row r="40" spans="2:7" hidden="1" x14ac:dyDescent="0.2">
      <c r="B40" s="1" t="s">
        <v>467</v>
      </c>
      <c r="F40" s="2"/>
    </row>
    <row r="41" spans="2:7" hidden="1" x14ac:dyDescent="0.2">
      <c r="B41" s="1" t="s">
        <v>468</v>
      </c>
      <c r="F41" s="2"/>
    </row>
    <row r="42" spans="2:7" hidden="1" x14ac:dyDescent="0.2">
      <c r="B42" s="1" t="s">
        <v>469</v>
      </c>
      <c r="F42" s="2"/>
    </row>
    <row r="43" spans="2:7" hidden="1" x14ac:dyDescent="0.2">
      <c r="B43" s="1" t="s">
        <v>470</v>
      </c>
      <c r="F43" s="2"/>
    </row>
    <row r="44" spans="2:7" hidden="1" x14ac:dyDescent="0.2">
      <c r="B44" s="1" t="s">
        <v>471</v>
      </c>
      <c r="F44" s="2"/>
    </row>
    <row r="45" spans="2:7" hidden="1" x14ac:dyDescent="0.2">
      <c r="B45" s="1" t="s">
        <v>725</v>
      </c>
      <c r="F45" s="2"/>
    </row>
    <row r="46" spans="2:7" hidden="1" x14ac:dyDescent="0.2">
      <c r="B46" s="1" t="s">
        <v>472</v>
      </c>
      <c r="F46" s="2"/>
    </row>
    <row r="47" spans="2:7" hidden="1" x14ac:dyDescent="0.2">
      <c r="B47" s="1" t="s">
        <v>473</v>
      </c>
      <c r="F47" s="2"/>
    </row>
    <row r="48" spans="2:7" hidden="1" x14ac:dyDescent="0.2">
      <c r="B48" s="1" t="s">
        <v>474</v>
      </c>
      <c r="F48" s="2"/>
    </row>
    <row r="49" spans="2:6" hidden="1" x14ac:dyDescent="0.2">
      <c r="B49" s="1" t="s">
        <v>876</v>
      </c>
      <c r="F49" s="2"/>
    </row>
    <row r="50" spans="2:6" ht="16.899999999999999" customHeight="1" x14ac:dyDescent="0.25">
      <c r="B50" s="1" t="s">
        <v>186</v>
      </c>
      <c r="F50" s="15">
        <f>SUM(F37:F48)-0.02</f>
        <v>163135.06</v>
      </c>
    </row>
    <row r="51" spans="2:6" ht="16.899999999999999" customHeight="1" x14ac:dyDescent="0.25">
      <c r="F51" s="12"/>
    </row>
    <row r="52" spans="2:6" ht="16.899999999999999" hidden="1" customHeight="1" x14ac:dyDescent="0.25">
      <c r="B52" s="1" t="s">
        <v>830</v>
      </c>
      <c r="F52" s="12"/>
    </row>
    <row r="53" spans="2:6" ht="16.899999999999999" hidden="1" customHeight="1" x14ac:dyDescent="0.25">
      <c r="B53" s="1" t="s">
        <v>831</v>
      </c>
      <c r="F53" s="12"/>
    </row>
    <row r="54" spans="2:6" ht="16.899999999999999" hidden="1" customHeight="1" x14ac:dyDescent="0.25">
      <c r="B54" s="1" t="s">
        <v>832</v>
      </c>
      <c r="F54" s="12"/>
    </row>
    <row r="55" spans="2:6" x14ac:dyDescent="0.2">
      <c r="F55" s="4"/>
    </row>
    <row r="56" spans="2:6" ht="21" customHeight="1" x14ac:dyDescent="0.4">
      <c r="B56" s="69" t="s">
        <v>187</v>
      </c>
      <c r="C56" s="69"/>
      <c r="D56" s="69"/>
      <c r="E56" s="69"/>
      <c r="F56" s="113">
        <f>+F25-F50</f>
        <v>815675.44</v>
      </c>
    </row>
    <row r="58" spans="2:6" x14ac:dyDescent="0.2">
      <c r="F58" s="6"/>
    </row>
  </sheetData>
  <mergeCells count="7">
    <mergeCell ref="B4:F4"/>
    <mergeCell ref="B5:F5"/>
    <mergeCell ref="B7:F7"/>
    <mergeCell ref="B10:F10"/>
    <mergeCell ref="B11:F11"/>
    <mergeCell ref="B6:F6"/>
    <mergeCell ref="B9:F9"/>
  </mergeCells>
  <phoneticPr fontId="10" type="noConversion"/>
  <pageMargins left="0.11811023622047245" right="0.70866141732283472" top="0.74803149606299213" bottom="0.74803149606299213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5" zoomScaleNormal="100" zoomScaleSheetLayoutView="100" workbookViewId="0">
      <selection activeCell="B37" sqref="B37"/>
    </sheetView>
  </sheetViews>
  <sheetFormatPr baseColWidth="10" defaultRowHeight="24.75" customHeight="1" x14ac:dyDescent="0.2"/>
  <cols>
    <col min="1" max="1" width="4.7109375" style="114" customWidth="1"/>
    <col min="2" max="2" width="33" style="114" bestFit="1" customWidth="1"/>
    <col min="3" max="3" width="13.5703125" style="114" customWidth="1"/>
    <col min="4" max="4" width="17" style="114" customWidth="1"/>
    <col min="5" max="5" width="11.42578125" style="114" bestFit="1" customWidth="1"/>
    <col min="6" max="6" width="18.85546875" style="114" customWidth="1"/>
    <col min="7" max="7" width="16" style="1" bestFit="1" customWidth="1"/>
    <col min="8" max="16384" width="11.42578125" style="1"/>
  </cols>
  <sheetData>
    <row r="1" spans="1:6" ht="15.95" customHeight="1" x14ac:dyDescent="0.2">
      <c r="A1" s="1"/>
      <c r="B1" s="1"/>
      <c r="C1" s="1"/>
      <c r="D1" s="1"/>
      <c r="E1" s="1"/>
      <c r="F1" s="1"/>
    </row>
    <row r="2" spans="1:6" ht="15.95" customHeight="1" x14ac:dyDescent="0.2">
      <c r="A2" s="1"/>
      <c r="B2" s="1"/>
      <c r="C2" s="1"/>
      <c r="D2" s="1"/>
      <c r="E2" s="1"/>
      <c r="F2" s="1"/>
    </row>
    <row r="3" spans="1:6" ht="15.95" customHeight="1" x14ac:dyDescent="0.25">
      <c r="A3" s="1"/>
      <c r="B3" s="471" t="s">
        <v>219</v>
      </c>
      <c r="C3" s="471"/>
      <c r="D3" s="471"/>
      <c r="E3" s="471"/>
      <c r="F3" s="471"/>
    </row>
    <row r="4" spans="1:6" ht="15.95" customHeight="1" x14ac:dyDescent="0.25">
      <c r="A4" s="1"/>
      <c r="B4" s="471" t="s">
        <v>208</v>
      </c>
      <c r="C4" s="471"/>
      <c r="D4" s="471"/>
      <c r="E4" s="471"/>
      <c r="F4" s="471"/>
    </row>
    <row r="5" spans="1:6" ht="15.95" customHeight="1" x14ac:dyDescent="0.25">
      <c r="A5" s="1"/>
      <c r="B5" s="471" t="s">
        <v>312</v>
      </c>
      <c r="C5" s="471"/>
      <c r="D5" s="471"/>
      <c r="E5" s="471"/>
      <c r="F5" s="471"/>
    </row>
    <row r="6" spans="1:6" ht="15.95" customHeight="1" x14ac:dyDescent="0.25">
      <c r="A6" s="1"/>
      <c r="B6" s="482">
        <v>45291</v>
      </c>
      <c r="C6" s="482"/>
      <c r="D6" s="482"/>
      <c r="E6" s="482"/>
      <c r="F6" s="482"/>
    </row>
    <row r="7" spans="1:6" ht="15.95" customHeight="1" x14ac:dyDescent="0.2">
      <c r="A7" s="1"/>
      <c r="B7" s="1"/>
      <c r="C7" s="1"/>
      <c r="D7" s="1"/>
      <c r="E7" s="1"/>
      <c r="F7" s="1"/>
    </row>
    <row r="8" spans="1:6" ht="21.75" customHeight="1" x14ac:dyDescent="0.2">
      <c r="A8" s="1"/>
      <c r="B8" s="465" t="s">
        <v>475</v>
      </c>
      <c r="C8" s="465"/>
      <c r="D8" s="465"/>
      <c r="E8" s="465"/>
      <c r="F8" s="465"/>
    </row>
    <row r="9" spans="1:6" ht="21.75" customHeight="1" x14ac:dyDescent="0.25">
      <c r="A9" s="1"/>
      <c r="B9" s="465" t="s">
        <v>401</v>
      </c>
      <c r="C9" s="465"/>
      <c r="D9" s="465"/>
      <c r="E9" s="465"/>
      <c r="F9" s="465"/>
    </row>
    <row r="10" spans="1:6" ht="21.75" customHeight="1" x14ac:dyDescent="0.2">
      <c r="A10" s="1"/>
      <c r="B10" s="465" t="s">
        <v>324</v>
      </c>
      <c r="C10" s="465"/>
      <c r="D10" s="465"/>
      <c r="E10" s="465"/>
      <c r="F10" s="465"/>
    </row>
    <row r="11" spans="1:6" ht="15.95" customHeight="1" thickBot="1" x14ac:dyDescent="0.25">
      <c r="A11" s="1"/>
      <c r="B11" s="1"/>
      <c r="C11" s="1"/>
      <c r="D11" s="1"/>
      <c r="E11" s="1"/>
      <c r="F11" s="1"/>
    </row>
    <row r="12" spans="1:6" ht="23.25" customHeight="1" thickBot="1" x14ac:dyDescent="0.3">
      <c r="A12" s="1"/>
      <c r="B12" s="120" t="s">
        <v>216</v>
      </c>
      <c r="C12" s="121"/>
      <c r="D12" s="121" t="s">
        <v>399</v>
      </c>
      <c r="E12" s="121"/>
      <c r="F12" s="122" t="s">
        <v>400</v>
      </c>
    </row>
    <row r="13" spans="1:6" ht="22.5" customHeight="1" x14ac:dyDescent="0.35">
      <c r="A13" s="1"/>
      <c r="B13" s="124" t="s">
        <v>313</v>
      </c>
      <c r="C13" s="118"/>
      <c r="D13" s="119" t="s">
        <v>314</v>
      </c>
      <c r="E13" s="118"/>
      <c r="F13" s="132">
        <v>1894604.46</v>
      </c>
    </row>
    <row r="14" spans="1:6" ht="23.25" customHeight="1" thickBot="1" x14ac:dyDescent="0.45">
      <c r="A14" s="1"/>
      <c r="B14" s="126" t="s">
        <v>161</v>
      </c>
      <c r="C14" s="127"/>
      <c r="D14" s="127"/>
      <c r="E14" s="127"/>
      <c r="F14" s="128">
        <f>SUM(F13:F13)</f>
        <v>1894604.46</v>
      </c>
    </row>
    <row r="15" spans="1:6" ht="15.95" customHeight="1" thickBot="1" x14ac:dyDescent="0.25">
      <c r="A15" s="1"/>
      <c r="B15" s="1"/>
      <c r="C15" s="1"/>
      <c r="D15" s="1"/>
      <c r="E15" s="1"/>
      <c r="F15" s="1"/>
    </row>
    <row r="16" spans="1:6" ht="24" customHeight="1" thickBot="1" x14ac:dyDescent="0.3">
      <c r="A16" s="1"/>
      <c r="B16" s="120" t="s">
        <v>167</v>
      </c>
      <c r="C16" s="121" t="s">
        <v>315</v>
      </c>
      <c r="D16" s="121"/>
      <c r="E16" s="121" t="s">
        <v>316</v>
      </c>
      <c r="F16" s="122" t="s">
        <v>168</v>
      </c>
    </row>
    <row r="17" spans="1:6" ht="18" customHeight="1" x14ac:dyDescent="0.25">
      <c r="A17" s="1"/>
      <c r="B17" s="129" t="s">
        <v>317</v>
      </c>
      <c r="C17" s="118" t="s">
        <v>447</v>
      </c>
      <c r="D17" s="118"/>
      <c r="E17" s="123">
        <v>45026</v>
      </c>
      <c r="F17" s="125">
        <v>1894604.46</v>
      </c>
    </row>
    <row r="18" spans="1:6" ht="18.75" customHeight="1" x14ac:dyDescent="0.35">
      <c r="A18" s="1"/>
      <c r="B18" s="130"/>
      <c r="C18" s="116"/>
      <c r="D18" s="116"/>
      <c r="E18" s="117"/>
      <c r="F18" s="131"/>
    </row>
    <row r="19" spans="1:6" ht="15.95" customHeight="1" x14ac:dyDescent="0.2">
      <c r="A19" s="1"/>
      <c r="B19" s="1"/>
      <c r="C19" s="1"/>
      <c r="D19" s="1"/>
      <c r="E19" s="1"/>
      <c r="F19" s="1"/>
    </row>
    <row r="20" spans="1:6" ht="15.95" customHeight="1" x14ac:dyDescent="0.2">
      <c r="A20" s="1"/>
      <c r="B20" s="111" t="s">
        <v>204</v>
      </c>
      <c r="C20" s="111"/>
      <c r="D20" s="111"/>
      <c r="E20" s="111"/>
      <c r="F20" s="112">
        <f>+F17/12</f>
        <v>157883.70499999999</v>
      </c>
    </row>
    <row r="21" spans="1:6" ht="15.95" customHeight="1" x14ac:dyDescent="0.2">
      <c r="A21" s="1"/>
      <c r="B21" s="1"/>
      <c r="C21" s="1"/>
      <c r="D21" s="1"/>
      <c r="E21" s="1"/>
      <c r="F21" s="2"/>
    </row>
    <row r="22" spans="1:6" ht="15.95" customHeight="1" x14ac:dyDescent="0.2">
      <c r="A22" s="1"/>
      <c r="B22" s="14" t="s">
        <v>459</v>
      </c>
      <c r="C22" s="14" t="s">
        <v>462</v>
      </c>
      <c r="D22" s="2">
        <f>+F20</f>
        <v>157883.70499999999</v>
      </c>
      <c r="E22" s="20" t="s">
        <v>460</v>
      </c>
      <c r="F22" s="2">
        <f>+D22*10-0.01</f>
        <v>1578837.0399999998</v>
      </c>
    </row>
    <row r="23" spans="1:6" ht="15.95" customHeight="1" x14ac:dyDescent="0.2">
      <c r="A23" s="1"/>
      <c r="B23" s="14"/>
      <c r="C23" s="14"/>
      <c r="D23" s="2"/>
      <c r="E23" s="14"/>
      <c r="F23" s="2"/>
    </row>
    <row r="24" spans="1:6" ht="15.95" customHeight="1" x14ac:dyDescent="0.2">
      <c r="A24" s="1"/>
      <c r="B24" s="14" t="s">
        <v>476</v>
      </c>
      <c r="C24" s="14" t="s">
        <v>463</v>
      </c>
      <c r="D24" s="2">
        <f>+F20</f>
        <v>157883.70499999999</v>
      </c>
      <c r="E24" s="20" t="s">
        <v>461</v>
      </c>
      <c r="F24" s="2">
        <f>+F17-F22</f>
        <v>315767.42000000016</v>
      </c>
    </row>
    <row r="25" spans="1:6" ht="15.95" customHeight="1" x14ac:dyDescent="0.2">
      <c r="A25" s="1"/>
      <c r="B25" s="1"/>
      <c r="C25" s="14"/>
      <c r="D25" s="2"/>
      <c r="E25" s="1"/>
      <c r="F25" s="1"/>
    </row>
    <row r="26" spans="1:6" ht="15.95" customHeight="1" x14ac:dyDescent="0.2">
      <c r="A26" s="1"/>
      <c r="B26" s="1"/>
      <c r="C26" s="14"/>
      <c r="D26" s="2"/>
      <c r="E26" s="1"/>
      <c r="F26" s="1"/>
    </row>
    <row r="27" spans="1:6" ht="15.95" customHeight="1" x14ac:dyDescent="0.2">
      <c r="A27" s="1"/>
      <c r="B27" s="1"/>
      <c r="C27" s="14"/>
      <c r="D27" s="2"/>
      <c r="E27" s="1"/>
      <c r="F27" s="1"/>
    </row>
    <row r="28" spans="1:6" ht="18" customHeight="1" x14ac:dyDescent="0.2">
      <c r="A28" s="1"/>
      <c r="B28" s="68" t="s">
        <v>448</v>
      </c>
      <c r="C28" s="68"/>
      <c r="D28" s="68"/>
      <c r="E28" s="68"/>
      <c r="F28" s="93">
        <v>157883.71</v>
      </c>
    </row>
    <row r="29" spans="1:6" ht="18" customHeight="1" x14ac:dyDescent="0.2">
      <c r="A29" s="1"/>
      <c r="B29" s="68" t="s">
        <v>449</v>
      </c>
      <c r="C29" s="68"/>
      <c r="D29" s="68"/>
      <c r="E29" s="68"/>
      <c r="F29" s="93">
        <v>157883.71</v>
      </c>
    </row>
    <row r="30" spans="1:6" ht="18" customHeight="1" x14ac:dyDescent="0.2">
      <c r="A30" s="1"/>
      <c r="B30" s="68" t="s">
        <v>450</v>
      </c>
      <c r="C30" s="59"/>
      <c r="D30" s="59"/>
      <c r="E30" s="59"/>
      <c r="F30" s="93">
        <f>157883.71+203901+2.99</f>
        <v>361787.69999999995</v>
      </c>
    </row>
    <row r="31" spans="1:6" ht="18" customHeight="1" x14ac:dyDescent="0.2">
      <c r="A31" s="1"/>
      <c r="B31" s="1" t="s">
        <v>451</v>
      </c>
      <c r="C31" s="59"/>
      <c r="D31" s="59"/>
      <c r="E31" s="59"/>
      <c r="F31" s="93">
        <v>157883.71</v>
      </c>
    </row>
    <row r="32" spans="1:6" ht="18" customHeight="1" x14ac:dyDescent="0.2">
      <c r="A32" s="1"/>
      <c r="B32" s="1" t="s">
        <v>710</v>
      </c>
      <c r="C32" s="59"/>
      <c r="D32" s="59"/>
      <c r="E32" s="59"/>
      <c r="F32" s="93">
        <v>157883.71</v>
      </c>
    </row>
    <row r="33" spans="1:7" ht="18" customHeight="1" x14ac:dyDescent="0.2">
      <c r="A33" s="1"/>
      <c r="B33" s="1" t="s">
        <v>452</v>
      </c>
      <c r="C33" s="68"/>
      <c r="D33" s="68"/>
      <c r="E33" s="68"/>
      <c r="F33" s="93">
        <v>157883.71</v>
      </c>
    </row>
    <row r="34" spans="1:7" ht="18" customHeight="1" x14ac:dyDescent="0.2">
      <c r="A34" s="1"/>
      <c r="B34" s="1" t="s">
        <v>453</v>
      </c>
      <c r="C34" s="68"/>
      <c r="D34" s="68"/>
      <c r="E34" s="68"/>
      <c r="F34" s="93">
        <v>157883.71</v>
      </c>
    </row>
    <row r="35" spans="1:7" ht="18" customHeight="1" x14ac:dyDescent="0.2">
      <c r="A35" s="1"/>
      <c r="B35" s="1" t="s">
        <v>454</v>
      </c>
      <c r="C35" s="68"/>
      <c r="D35" s="68"/>
      <c r="E35" s="68"/>
      <c r="F35" s="93">
        <v>157883.71</v>
      </c>
    </row>
    <row r="36" spans="1:7" ht="18" customHeight="1" x14ac:dyDescent="0.2">
      <c r="A36" s="1"/>
      <c r="B36" s="1" t="s">
        <v>455</v>
      </c>
      <c r="C36" s="1"/>
      <c r="D36" s="1"/>
      <c r="E36" s="1"/>
      <c r="F36" s="2">
        <v>157883.71</v>
      </c>
    </row>
    <row r="37" spans="1:7" ht="18" customHeight="1" x14ac:dyDescent="0.35">
      <c r="A37" s="1"/>
      <c r="B37" s="59" t="s">
        <v>456</v>
      </c>
      <c r="C37" s="68"/>
      <c r="D37" s="68"/>
      <c r="E37" s="68"/>
      <c r="F37" s="254">
        <v>157883.71</v>
      </c>
    </row>
    <row r="38" spans="1:7" ht="18" hidden="1" customHeight="1" x14ac:dyDescent="0.2">
      <c r="A38" s="1"/>
      <c r="B38" s="1" t="s">
        <v>457</v>
      </c>
      <c r="C38" s="1"/>
      <c r="D38" s="1"/>
      <c r="E38" s="1"/>
      <c r="F38" s="2"/>
    </row>
    <row r="39" spans="1:7" ht="18" hidden="1" customHeight="1" x14ac:dyDescent="0.2">
      <c r="A39" s="1"/>
      <c r="B39" s="1" t="s">
        <v>458</v>
      </c>
      <c r="C39" s="68"/>
      <c r="D39" s="68"/>
      <c r="E39" s="68"/>
      <c r="F39" s="2"/>
    </row>
    <row r="40" spans="1:7" ht="18" customHeight="1" x14ac:dyDescent="0.25">
      <c r="A40" s="1"/>
      <c r="B40" s="69" t="s">
        <v>282</v>
      </c>
      <c r="C40" s="68"/>
      <c r="D40" s="68"/>
      <c r="E40" s="68"/>
      <c r="F40" s="115">
        <f>SUM(F28:F39)+0</f>
        <v>1782741.0899999996</v>
      </c>
      <c r="G40" s="6"/>
    </row>
    <row r="41" spans="1:7" ht="15.95" customHeight="1" x14ac:dyDescent="0.2">
      <c r="A41" s="1"/>
      <c r="B41" s="68"/>
      <c r="C41" s="68"/>
      <c r="D41" s="68"/>
      <c r="E41" s="68"/>
      <c r="F41" s="93"/>
    </row>
    <row r="42" spans="1:7" ht="23.25" customHeight="1" x14ac:dyDescent="0.4">
      <c r="A42" s="1"/>
      <c r="B42" s="69" t="s">
        <v>187</v>
      </c>
      <c r="C42" s="69"/>
      <c r="D42" s="69"/>
      <c r="E42" s="69"/>
      <c r="F42" s="253">
        <f>+F14-F40</f>
        <v>111863.37000000034</v>
      </c>
      <c r="G42" s="10"/>
    </row>
    <row r="43" spans="1:7" ht="15.95" customHeight="1" x14ac:dyDescent="0.2">
      <c r="A43" s="1"/>
      <c r="B43" s="68"/>
      <c r="C43" s="68"/>
      <c r="D43" s="68"/>
      <c r="E43" s="68"/>
      <c r="F43" s="93"/>
    </row>
    <row r="44" spans="1:7" ht="24.75" customHeight="1" x14ac:dyDescent="0.2">
      <c r="A44" s="1"/>
      <c r="B44" s="68"/>
      <c r="C44" s="68" t="s">
        <v>751</v>
      </c>
      <c r="D44" s="322">
        <f>+F35</f>
        <v>157883.71</v>
      </c>
      <c r="E44" s="68"/>
    </row>
    <row r="45" spans="1:7" ht="24.75" customHeight="1" x14ac:dyDescent="0.2">
      <c r="A45" s="1"/>
      <c r="B45" s="68"/>
      <c r="C45" s="114" t="s">
        <v>752</v>
      </c>
      <c r="D45" s="323">
        <f>+'NOTA 5 LICENCIAS JIRA'!F31</f>
        <v>74166.67</v>
      </c>
      <c r="E45" s="68"/>
    </row>
    <row r="46" spans="1:7" ht="24.75" customHeight="1" x14ac:dyDescent="0.2">
      <c r="C46" s="114" t="s">
        <v>845</v>
      </c>
      <c r="D46" s="323">
        <f>+'NOTA 5 Licencias Adobe'!F30</f>
        <v>27433.334166666667</v>
      </c>
      <c r="F46" s="378">
        <f>+F42+F35</f>
        <v>269747.08000000031</v>
      </c>
    </row>
    <row r="47" spans="1:7" ht="24.75" customHeight="1" thickBot="1" x14ac:dyDescent="0.25">
      <c r="C47" s="114" t="s">
        <v>207</v>
      </c>
      <c r="D47" s="324">
        <f>SUM(D44:D46)</f>
        <v>259483.71416666667</v>
      </c>
      <c r="F47" s="378"/>
    </row>
    <row r="48" spans="1:7" ht="24.75" customHeight="1" thickTop="1" x14ac:dyDescent="0.2">
      <c r="F48" s="378"/>
    </row>
    <row r="49" spans="4:6" ht="24.75" customHeight="1" x14ac:dyDescent="0.2">
      <c r="D49" s="379">
        <v>329200.01</v>
      </c>
      <c r="F49" s="378"/>
    </row>
    <row r="50" spans="4:6" ht="24.75" customHeight="1" x14ac:dyDescent="0.2">
      <c r="F50" s="379"/>
    </row>
    <row r="51" spans="4:6" ht="24.75" customHeight="1" x14ac:dyDescent="0.2">
      <c r="D51" s="378">
        <f>+D47+D49</f>
        <v>588683.72416666662</v>
      </c>
      <c r="F51" s="378"/>
    </row>
    <row r="52" spans="4:6" ht="24.75" customHeight="1" x14ac:dyDescent="0.2">
      <c r="F52" s="379"/>
    </row>
    <row r="54" spans="4:6" ht="24.75" customHeight="1" x14ac:dyDescent="0.2">
      <c r="D54" s="378"/>
    </row>
    <row r="55" spans="4:6" ht="24.75" customHeight="1" x14ac:dyDescent="0.2">
      <c r="D55" s="378"/>
    </row>
  </sheetData>
  <mergeCells count="7">
    <mergeCell ref="B10:F10"/>
    <mergeCell ref="B3:F3"/>
    <mergeCell ref="B4:F4"/>
    <mergeCell ref="B5:F5"/>
    <mergeCell ref="B6:F6"/>
    <mergeCell ref="B8:F8"/>
    <mergeCell ref="B9:F9"/>
  </mergeCells>
  <pageMargins left="0.7" right="0.7" top="0.75" bottom="0.75" header="0.3" footer="0.3"/>
  <pageSetup scale="9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F48"/>
  <sheetViews>
    <sheetView topLeftCell="A8" workbookViewId="0">
      <selection activeCell="B33" sqref="B33"/>
    </sheetView>
  </sheetViews>
  <sheetFormatPr baseColWidth="10" defaultRowHeight="12.75" x14ac:dyDescent="0.2"/>
  <cols>
    <col min="1" max="1" width="2.5703125" customWidth="1"/>
    <col min="2" max="2" width="34.7109375" bestFit="1" customWidth="1"/>
    <col min="3" max="3" width="27.85546875" bestFit="1" customWidth="1"/>
    <col min="4" max="4" width="14.140625" bestFit="1" customWidth="1"/>
    <col min="6" max="6" width="16" bestFit="1" customWidth="1"/>
  </cols>
  <sheetData>
    <row r="5" spans="2:6" ht="18" x14ac:dyDescent="0.25">
      <c r="B5" s="461" t="s">
        <v>219</v>
      </c>
      <c r="C5" s="461"/>
      <c r="D5" s="461"/>
      <c r="E5" s="461"/>
      <c r="F5" s="461"/>
    </row>
    <row r="6" spans="2:6" ht="18" x14ac:dyDescent="0.25">
      <c r="B6" s="461" t="s">
        <v>208</v>
      </c>
      <c r="C6" s="461"/>
      <c r="D6" s="461"/>
      <c r="E6" s="461"/>
      <c r="F6" s="461"/>
    </row>
    <row r="7" spans="2:6" ht="15.75" x14ac:dyDescent="0.25">
      <c r="B7" s="471" t="s">
        <v>744</v>
      </c>
      <c r="C7" s="471"/>
      <c r="D7" s="471"/>
      <c r="E7" s="471"/>
      <c r="F7" s="471"/>
    </row>
    <row r="8" spans="2:6" ht="15.75" x14ac:dyDescent="0.25">
      <c r="B8" s="482">
        <v>45291</v>
      </c>
      <c r="C8" s="482"/>
      <c r="D8" s="482"/>
      <c r="E8" s="482"/>
      <c r="F8" s="482"/>
    </row>
    <row r="9" spans="2:6" ht="15" x14ac:dyDescent="0.2">
      <c r="B9" s="1"/>
      <c r="C9" s="1"/>
      <c r="D9" s="1"/>
      <c r="E9" s="1"/>
      <c r="F9" s="1"/>
    </row>
    <row r="10" spans="2:6" ht="15" x14ac:dyDescent="0.2">
      <c r="B10" s="465" t="s">
        <v>746</v>
      </c>
      <c r="C10" s="465"/>
      <c r="D10" s="465"/>
      <c r="E10" s="465"/>
      <c r="F10" s="465"/>
    </row>
    <row r="11" spans="2:6" ht="15.75" x14ac:dyDescent="0.25">
      <c r="B11" s="465" t="s">
        <v>745</v>
      </c>
      <c r="C11" s="465"/>
      <c r="D11" s="465"/>
      <c r="E11" s="465"/>
      <c r="F11" s="465"/>
    </row>
    <row r="12" spans="2:6" ht="15" x14ac:dyDescent="0.2">
      <c r="B12" s="465" t="s">
        <v>803</v>
      </c>
      <c r="C12" s="465"/>
      <c r="D12" s="465"/>
      <c r="E12" s="465"/>
      <c r="F12" s="465"/>
    </row>
    <row r="13" spans="2:6" ht="15.75" thickBot="1" x14ac:dyDescent="0.25">
      <c r="B13" s="1"/>
      <c r="C13" s="1"/>
      <c r="D13" s="1"/>
      <c r="E13" s="1"/>
      <c r="F13" s="1"/>
    </row>
    <row r="14" spans="2:6" ht="16.5" thickBot="1" x14ac:dyDescent="0.3">
      <c r="B14" s="120" t="s">
        <v>216</v>
      </c>
      <c r="C14" s="121"/>
      <c r="D14" s="121" t="s">
        <v>399</v>
      </c>
      <c r="E14" s="121"/>
      <c r="F14" s="122" t="s">
        <v>400</v>
      </c>
    </row>
    <row r="15" spans="2:6" ht="17.25" x14ac:dyDescent="0.35">
      <c r="B15" s="316" t="s">
        <v>794</v>
      </c>
      <c r="C15" s="118"/>
      <c r="D15" s="119" t="s">
        <v>314</v>
      </c>
      <c r="E15" s="118"/>
      <c r="F15" s="132">
        <v>890000</v>
      </c>
    </row>
    <row r="16" spans="2:6" ht="18.75" thickBot="1" x14ac:dyDescent="0.45">
      <c r="B16" s="126" t="s">
        <v>161</v>
      </c>
      <c r="C16" s="127"/>
      <c r="D16" s="127"/>
      <c r="E16" s="127"/>
      <c r="F16" s="128">
        <f>SUM(F15:F15)</f>
        <v>890000</v>
      </c>
    </row>
    <row r="17" spans="2:6" ht="15.75" thickBot="1" x14ac:dyDescent="0.25">
      <c r="B17" s="1"/>
      <c r="C17" s="1"/>
      <c r="D17" s="1"/>
      <c r="E17" s="1"/>
      <c r="F17" s="1"/>
    </row>
    <row r="18" spans="2:6" ht="16.5" thickBot="1" x14ac:dyDescent="0.3">
      <c r="B18" s="120" t="s">
        <v>167</v>
      </c>
      <c r="C18" s="121" t="s">
        <v>315</v>
      </c>
      <c r="D18" s="121"/>
      <c r="E18" s="121" t="s">
        <v>316</v>
      </c>
      <c r="F18" s="122" t="s">
        <v>168</v>
      </c>
    </row>
    <row r="19" spans="2:6" ht="15" x14ac:dyDescent="0.2">
      <c r="B19" s="129" t="s">
        <v>726</v>
      </c>
      <c r="C19" s="318" t="s">
        <v>747</v>
      </c>
      <c r="D19" s="118"/>
      <c r="E19" s="123">
        <v>45145</v>
      </c>
      <c r="F19" s="125">
        <v>890000</v>
      </c>
    </row>
    <row r="20" spans="2:6" ht="17.25" x14ac:dyDescent="0.35">
      <c r="B20" s="130"/>
      <c r="C20" s="116"/>
      <c r="D20" s="116"/>
      <c r="E20" s="117"/>
      <c r="F20" s="131"/>
    </row>
    <row r="21" spans="2:6" ht="15" x14ac:dyDescent="0.2">
      <c r="B21" s="1"/>
      <c r="C21" s="1"/>
      <c r="D21" s="1"/>
      <c r="E21" s="1"/>
      <c r="F21" s="1"/>
    </row>
    <row r="22" spans="2:6" ht="15" x14ac:dyDescent="0.2">
      <c r="B22" s="111" t="s">
        <v>204</v>
      </c>
      <c r="C22" s="111"/>
      <c r="D22" s="111"/>
      <c r="E22" s="111"/>
      <c r="F22" s="112">
        <f>+F19/12</f>
        <v>74166.666666666672</v>
      </c>
    </row>
    <row r="23" spans="2:6" ht="15" x14ac:dyDescent="0.2">
      <c r="B23" s="1"/>
      <c r="C23" s="1"/>
      <c r="D23" s="1"/>
      <c r="E23" s="1"/>
      <c r="F23" s="2"/>
    </row>
    <row r="24" spans="2:6" ht="15" x14ac:dyDescent="0.2">
      <c r="B24" s="317" t="s">
        <v>732</v>
      </c>
      <c r="C24" s="14" t="s">
        <v>727</v>
      </c>
      <c r="D24" s="2">
        <f>+F22</f>
        <v>74166.666666666672</v>
      </c>
      <c r="E24" s="20" t="s">
        <v>728</v>
      </c>
      <c r="F24" s="2">
        <f>+F22*4</f>
        <v>296666.66666666669</v>
      </c>
    </row>
    <row r="25" spans="2:6" ht="15" x14ac:dyDescent="0.2">
      <c r="B25" s="14"/>
      <c r="C25" s="14"/>
      <c r="D25" s="2"/>
      <c r="E25" s="14"/>
      <c r="F25" s="2"/>
    </row>
    <row r="26" spans="2:6" ht="15" x14ac:dyDescent="0.2">
      <c r="B26" s="317" t="s">
        <v>731</v>
      </c>
      <c r="C26" s="14" t="s">
        <v>730</v>
      </c>
      <c r="D26" s="2">
        <f>+F22</f>
        <v>74166.666666666672</v>
      </c>
      <c r="E26" s="20" t="s">
        <v>729</v>
      </c>
      <c r="F26" s="2">
        <f>+F19-F24</f>
        <v>593333.33333333326</v>
      </c>
    </row>
    <row r="27" spans="2:6" ht="15" x14ac:dyDescent="0.2">
      <c r="B27" s="1"/>
      <c r="C27" s="14"/>
      <c r="D27" s="2"/>
      <c r="E27" s="1"/>
      <c r="F27" s="1"/>
    </row>
    <row r="28" spans="2:6" ht="15" x14ac:dyDescent="0.2">
      <c r="B28" s="1"/>
      <c r="C28" s="14"/>
      <c r="D28" s="2"/>
      <c r="E28" s="1"/>
      <c r="F28" s="1"/>
    </row>
    <row r="29" spans="2:6" ht="15" x14ac:dyDescent="0.2">
      <c r="B29" s="1"/>
      <c r="C29" s="14"/>
      <c r="D29" s="2"/>
      <c r="E29" s="1"/>
      <c r="F29" s="1"/>
    </row>
    <row r="30" spans="2:6" ht="15" x14ac:dyDescent="0.2">
      <c r="B30" s="68" t="s">
        <v>733</v>
      </c>
      <c r="C30" s="68"/>
      <c r="D30" s="68"/>
      <c r="E30" s="68"/>
      <c r="F30" s="2">
        <v>74166.67</v>
      </c>
    </row>
    <row r="31" spans="2:6" ht="15" x14ac:dyDescent="0.2">
      <c r="B31" s="68" t="s">
        <v>734</v>
      </c>
      <c r="C31" s="68"/>
      <c r="D31" s="68"/>
      <c r="E31" s="68"/>
      <c r="F31" s="2">
        <v>74166.67</v>
      </c>
    </row>
    <row r="32" spans="2:6" ht="15" x14ac:dyDescent="0.2">
      <c r="B32" s="68" t="s">
        <v>735</v>
      </c>
      <c r="C32" s="59"/>
      <c r="D32" s="59"/>
      <c r="E32" s="59"/>
      <c r="F32" s="2">
        <v>74166.67</v>
      </c>
    </row>
    <row r="33" spans="2:6" ht="17.25" x14ac:dyDescent="0.35">
      <c r="B33" s="59" t="s">
        <v>736</v>
      </c>
      <c r="C33" s="59"/>
      <c r="D33" s="59"/>
      <c r="E33" s="59"/>
      <c r="F33" s="254">
        <v>74166.67</v>
      </c>
    </row>
    <row r="34" spans="2:6" ht="15" hidden="1" x14ac:dyDescent="0.2">
      <c r="B34" s="1" t="s">
        <v>737</v>
      </c>
      <c r="C34" s="59"/>
      <c r="D34" s="59"/>
      <c r="E34" s="59"/>
      <c r="F34" s="93"/>
    </row>
    <row r="35" spans="2:6" ht="15" hidden="1" x14ac:dyDescent="0.2">
      <c r="B35" s="1" t="s">
        <v>458</v>
      </c>
      <c r="C35" s="68"/>
      <c r="D35" s="68"/>
      <c r="E35" s="68"/>
      <c r="F35" s="93"/>
    </row>
    <row r="36" spans="2:6" ht="17.25" hidden="1" x14ac:dyDescent="0.35">
      <c r="B36" s="1" t="s">
        <v>738</v>
      </c>
      <c r="C36" s="68"/>
      <c r="D36" s="68"/>
      <c r="E36" s="68"/>
      <c r="F36" s="254"/>
    </row>
    <row r="37" spans="2:6" ht="15" hidden="1" x14ac:dyDescent="0.2">
      <c r="B37" s="1" t="s">
        <v>739</v>
      </c>
      <c r="C37" s="68"/>
      <c r="D37" s="68"/>
      <c r="E37" s="68"/>
      <c r="F37" s="93"/>
    </row>
    <row r="38" spans="2:6" ht="15" hidden="1" x14ac:dyDescent="0.2">
      <c r="B38" s="1" t="s">
        <v>740</v>
      </c>
      <c r="C38" s="68"/>
      <c r="D38" s="68"/>
      <c r="E38" s="68"/>
      <c r="F38" s="93"/>
    </row>
    <row r="39" spans="2:6" ht="15" hidden="1" x14ac:dyDescent="0.2">
      <c r="B39" s="1" t="s">
        <v>741</v>
      </c>
      <c r="C39" s="68"/>
      <c r="D39" s="68"/>
      <c r="E39" s="68"/>
      <c r="F39" s="93"/>
    </row>
    <row r="40" spans="2:6" ht="15" hidden="1" x14ac:dyDescent="0.2">
      <c r="B40" s="1" t="s">
        <v>742</v>
      </c>
      <c r="C40" s="1"/>
      <c r="D40" s="1"/>
      <c r="E40" s="1"/>
      <c r="F40" s="2"/>
    </row>
    <row r="41" spans="2:6" ht="15" hidden="1" x14ac:dyDescent="0.2">
      <c r="B41" s="1" t="s">
        <v>743</v>
      </c>
      <c r="C41" s="68"/>
      <c r="D41" s="68"/>
      <c r="E41" s="68"/>
      <c r="F41" s="2"/>
    </row>
    <row r="42" spans="2:6" ht="15.75" x14ac:dyDescent="0.25">
      <c r="B42" s="69" t="s">
        <v>282</v>
      </c>
      <c r="C42" s="68"/>
      <c r="D42" s="68"/>
      <c r="E42" s="68"/>
      <c r="F42" s="115">
        <f>SUM(F30:F41)+0</f>
        <v>296666.68</v>
      </c>
    </row>
    <row r="43" spans="2:6" ht="15" x14ac:dyDescent="0.2">
      <c r="B43" s="68"/>
      <c r="C43" s="68"/>
      <c r="D43" s="68"/>
      <c r="E43" s="68"/>
      <c r="F43" s="93"/>
    </row>
    <row r="44" spans="2:6" ht="18" x14ac:dyDescent="0.4">
      <c r="B44" s="69" t="s">
        <v>187</v>
      </c>
      <c r="C44" s="69"/>
      <c r="D44" s="69"/>
      <c r="E44" s="69"/>
      <c r="F44" s="253">
        <f>+F16-F42</f>
        <v>593333.32000000007</v>
      </c>
    </row>
    <row r="45" spans="2:6" ht="15" x14ac:dyDescent="0.2">
      <c r="B45" s="68"/>
      <c r="C45" s="68"/>
      <c r="D45" s="68"/>
      <c r="E45" s="68"/>
      <c r="F45" s="93"/>
    </row>
    <row r="48" spans="2:6" x14ac:dyDescent="0.2">
      <c r="F48" s="227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workbookViewId="0">
      <selection activeCell="F45" sqref="A1:F45"/>
    </sheetView>
  </sheetViews>
  <sheetFormatPr baseColWidth="10" defaultRowHeight="12.75" x14ac:dyDescent="0.2"/>
  <cols>
    <col min="1" max="1" width="2.5703125" customWidth="1"/>
    <col min="2" max="2" width="33" bestFit="1" customWidth="1"/>
    <col min="3" max="3" width="15.28515625" customWidth="1"/>
    <col min="4" max="4" width="14.7109375" customWidth="1"/>
    <col min="6" max="6" width="16" bestFit="1" customWidth="1"/>
  </cols>
  <sheetData>
    <row r="5" spans="2:6" ht="18" x14ac:dyDescent="0.25">
      <c r="B5" s="461" t="s">
        <v>219</v>
      </c>
      <c r="C5" s="461"/>
      <c r="D5" s="461"/>
      <c r="E5" s="461"/>
      <c r="F5" s="461"/>
    </row>
    <row r="6" spans="2:6" ht="18" x14ac:dyDescent="0.25">
      <c r="B6" s="461" t="s">
        <v>208</v>
      </c>
      <c r="C6" s="461"/>
      <c r="D6" s="461"/>
      <c r="E6" s="461"/>
      <c r="F6" s="461"/>
    </row>
    <row r="7" spans="2:6" ht="15.75" x14ac:dyDescent="0.25">
      <c r="B7" s="471" t="s">
        <v>863</v>
      </c>
      <c r="C7" s="471"/>
      <c r="D7" s="471"/>
      <c r="E7" s="471"/>
      <c r="F7" s="471"/>
    </row>
    <row r="8" spans="2:6" ht="15.75" x14ac:dyDescent="0.25">
      <c r="B8" s="482">
        <v>45291</v>
      </c>
      <c r="C8" s="482"/>
      <c r="D8" s="482"/>
      <c r="E8" s="482"/>
      <c r="F8" s="482"/>
    </row>
    <row r="9" spans="2:6" ht="15" x14ac:dyDescent="0.2">
      <c r="B9" s="1"/>
      <c r="C9" s="1"/>
      <c r="D9" s="1"/>
      <c r="E9" s="1"/>
      <c r="F9" s="1"/>
    </row>
    <row r="10" spans="2:6" ht="15" x14ac:dyDescent="0.2">
      <c r="B10" s="465" t="s">
        <v>864</v>
      </c>
      <c r="C10" s="465"/>
      <c r="D10" s="465"/>
      <c r="E10" s="465"/>
      <c r="F10" s="465"/>
    </row>
    <row r="11" spans="2:6" ht="15.75" x14ac:dyDescent="0.25">
      <c r="B11" s="465" t="s">
        <v>865</v>
      </c>
      <c r="C11" s="465"/>
      <c r="D11" s="465"/>
      <c r="E11" s="465"/>
      <c r="F11" s="465"/>
    </row>
    <row r="12" spans="2:6" ht="15.75" x14ac:dyDescent="0.25">
      <c r="B12" s="471" t="s">
        <v>866</v>
      </c>
      <c r="C12" s="471"/>
      <c r="D12" s="471"/>
      <c r="E12" s="471"/>
      <c r="F12" s="471"/>
    </row>
    <row r="13" spans="2:6" ht="15.75" thickBot="1" x14ac:dyDescent="0.25">
      <c r="B13" s="1"/>
      <c r="C13" s="1"/>
      <c r="D13" s="1"/>
      <c r="E13" s="1"/>
      <c r="F13" s="1"/>
    </row>
    <row r="14" spans="2:6" ht="16.5" thickBot="1" x14ac:dyDescent="0.3">
      <c r="B14" s="120" t="s">
        <v>216</v>
      </c>
      <c r="C14" s="121" t="s">
        <v>315</v>
      </c>
      <c r="D14" s="121" t="s">
        <v>399</v>
      </c>
      <c r="E14" s="121"/>
      <c r="F14" s="122" t="s">
        <v>400</v>
      </c>
    </row>
    <row r="15" spans="2:6" ht="17.25" x14ac:dyDescent="0.35">
      <c r="B15" s="316" t="s">
        <v>960</v>
      </c>
      <c r="C15" s="459" t="s">
        <v>838</v>
      </c>
      <c r="D15" s="119" t="s">
        <v>314</v>
      </c>
      <c r="E15" s="118"/>
      <c r="F15" s="132">
        <v>329200.01</v>
      </c>
    </row>
    <row r="16" spans="2:6" ht="18.75" thickBot="1" x14ac:dyDescent="0.45">
      <c r="B16" s="126" t="s">
        <v>161</v>
      </c>
      <c r="C16" s="127"/>
      <c r="D16" s="127"/>
      <c r="E16" s="127"/>
      <c r="F16" s="128">
        <f>SUM(F15:F15)</f>
        <v>329200.01</v>
      </c>
    </row>
    <row r="17" spans="2:6" ht="13.5" thickBot="1" x14ac:dyDescent="0.25"/>
    <row r="18" spans="2:6" ht="16.5" thickBot="1" x14ac:dyDescent="0.3">
      <c r="B18" s="120" t="s">
        <v>167</v>
      </c>
      <c r="C18" s="121" t="s">
        <v>315</v>
      </c>
      <c r="D18" s="121"/>
      <c r="E18" s="121" t="s">
        <v>316</v>
      </c>
      <c r="F18" s="122" t="s">
        <v>168</v>
      </c>
    </row>
    <row r="19" spans="2:6" ht="15" x14ac:dyDescent="0.2">
      <c r="B19" s="129" t="s">
        <v>753</v>
      </c>
      <c r="C19" s="384" t="s">
        <v>848</v>
      </c>
      <c r="D19" s="118"/>
      <c r="E19" s="383" t="s">
        <v>839</v>
      </c>
      <c r="F19" s="125">
        <f>+F16</f>
        <v>329200.01</v>
      </c>
    </row>
    <row r="21" spans="2:6" ht="15" x14ac:dyDescent="0.2">
      <c r="B21" s="111" t="s">
        <v>204</v>
      </c>
      <c r="C21" s="111"/>
      <c r="D21" s="111"/>
      <c r="E21" s="111"/>
      <c r="F21" s="112">
        <f>+F19/12</f>
        <v>27433.334166666667</v>
      </c>
    </row>
    <row r="22" spans="2:6" ht="15" x14ac:dyDescent="0.2">
      <c r="B22" s="1"/>
      <c r="C22" s="1"/>
      <c r="D22" s="1"/>
      <c r="E22" s="1"/>
      <c r="F22" s="2"/>
    </row>
    <row r="23" spans="2:6" ht="15" x14ac:dyDescent="0.2">
      <c r="B23" s="317" t="s">
        <v>840</v>
      </c>
      <c r="C23" s="14" t="s">
        <v>841</v>
      </c>
      <c r="D23" s="2">
        <f>+F21</f>
        <v>27433.334166666667</v>
      </c>
      <c r="E23" s="20" t="s">
        <v>728</v>
      </c>
      <c r="F23" s="2">
        <f>+F21*3</f>
        <v>82300.002500000002</v>
      </c>
    </row>
    <row r="24" spans="2:6" ht="15" x14ac:dyDescent="0.2">
      <c r="B24" s="14"/>
      <c r="C24" s="14"/>
      <c r="D24" s="2"/>
      <c r="E24" s="14"/>
      <c r="F24" s="2"/>
    </row>
    <row r="25" spans="2:6" ht="15" x14ac:dyDescent="0.2">
      <c r="B25" s="317" t="s">
        <v>961</v>
      </c>
      <c r="C25" s="14" t="s">
        <v>842</v>
      </c>
      <c r="D25" s="2">
        <f>+F21</f>
        <v>27433.334166666667</v>
      </c>
      <c r="E25" s="20" t="s">
        <v>843</v>
      </c>
      <c r="F25" s="2">
        <f>+F19-F23</f>
        <v>246900.00750000001</v>
      </c>
    </row>
    <row r="26" spans="2:6" ht="15" x14ac:dyDescent="0.2">
      <c r="B26" s="1"/>
      <c r="C26" s="14"/>
      <c r="D26" s="2"/>
      <c r="E26" s="1"/>
      <c r="F26" s="1"/>
    </row>
    <row r="27" spans="2:6" ht="15" x14ac:dyDescent="0.2">
      <c r="B27" s="1"/>
      <c r="C27" s="14"/>
      <c r="D27" s="2"/>
      <c r="E27" s="1"/>
      <c r="F27" s="1"/>
    </row>
    <row r="28" spans="2:6" ht="15" x14ac:dyDescent="0.2">
      <c r="B28" s="1"/>
      <c r="C28" s="14"/>
      <c r="D28" s="2"/>
      <c r="E28" s="1"/>
      <c r="F28" s="1"/>
    </row>
    <row r="29" spans="2:6" ht="15" x14ac:dyDescent="0.2">
      <c r="C29" s="68"/>
      <c r="D29" s="68"/>
      <c r="E29" s="68"/>
      <c r="F29" s="2"/>
    </row>
    <row r="30" spans="2:6" ht="15" x14ac:dyDescent="0.2">
      <c r="B30" s="68" t="s">
        <v>734</v>
      </c>
      <c r="C30" s="68"/>
      <c r="D30" s="68"/>
      <c r="E30" s="68"/>
      <c r="F30" s="2">
        <f>+F21</f>
        <v>27433.334166666667</v>
      </c>
    </row>
    <row r="31" spans="2:6" ht="15" x14ac:dyDescent="0.2">
      <c r="B31" s="1" t="s">
        <v>735</v>
      </c>
      <c r="C31" s="59"/>
      <c r="D31" s="59"/>
      <c r="E31" s="59"/>
      <c r="F31" s="2">
        <f>+F30</f>
        <v>27433.334166666667</v>
      </c>
    </row>
    <row r="32" spans="2:6" ht="17.25" x14ac:dyDescent="0.35">
      <c r="B32" s="59" t="s">
        <v>736</v>
      </c>
      <c r="C32" s="59"/>
      <c r="D32" s="59"/>
      <c r="E32" s="59"/>
      <c r="F32" s="254">
        <f>+F31</f>
        <v>27433.334166666667</v>
      </c>
    </row>
    <row r="33" spans="2:6" ht="15" hidden="1" x14ac:dyDescent="0.2">
      <c r="B33" s="1" t="s">
        <v>737</v>
      </c>
      <c r="C33" s="59"/>
      <c r="D33" s="59"/>
      <c r="E33" s="59"/>
      <c r="F33" s="93"/>
    </row>
    <row r="34" spans="2:6" ht="15" hidden="1" x14ac:dyDescent="0.2">
      <c r="B34" s="1" t="s">
        <v>458</v>
      </c>
      <c r="C34" s="68"/>
      <c r="D34" s="68"/>
      <c r="E34" s="68"/>
      <c r="F34" s="93"/>
    </row>
    <row r="35" spans="2:6" ht="17.25" hidden="1" x14ac:dyDescent="0.35">
      <c r="B35" s="1" t="s">
        <v>738</v>
      </c>
      <c r="C35" s="68"/>
      <c r="D35" s="68"/>
      <c r="E35" s="68"/>
      <c r="F35" s="254"/>
    </row>
    <row r="36" spans="2:6" ht="15" hidden="1" x14ac:dyDescent="0.2">
      <c r="B36" s="1" t="s">
        <v>739</v>
      </c>
      <c r="C36" s="68"/>
      <c r="D36" s="68"/>
      <c r="E36" s="68"/>
      <c r="F36" s="93"/>
    </row>
    <row r="37" spans="2:6" ht="15" hidden="1" x14ac:dyDescent="0.2">
      <c r="B37" s="1" t="s">
        <v>740</v>
      </c>
      <c r="C37" s="68"/>
      <c r="D37" s="68"/>
      <c r="E37" s="68"/>
      <c r="F37" s="93"/>
    </row>
    <row r="38" spans="2:6" ht="15" hidden="1" x14ac:dyDescent="0.2">
      <c r="B38" s="1" t="s">
        <v>741</v>
      </c>
      <c r="C38" s="68"/>
      <c r="D38" s="68"/>
      <c r="E38" s="68"/>
      <c r="F38" s="93"/>
    </row>
    <row r="39" spans="2:6" ht="15" hidden="1" x14ac:dyDescent="0.2">
      <c r="B39" s="1" t="s">
        <v>742</v>
      </c>
      <c r="C39" s="1"/>
      <c r="D39" s="1"/>
      <c r="E39" s="1"/>
      <c r="F39" s="2"/>
    </row>
    <row r="40" spans="2:6" ht="15" hidden="1" x14ac:dyDescent="0.2">
      <c r="B40" s="1" t="s">
        <v>743</v>
      </c>
      <c r="C40" s="68"/>
      <c r="D40" s="68"/>
      <c r="E40" s="68"/>
      <c r="F40" s="2"/>
    </row>
    <row r="41" spans="2:6" ht="15" hidden="1" x14ac:dyDescent="0.2">
      <c r="B41" s="68" t="s">
        <v>844</v>
      </c>
      <c r="C41" s="68"/>
      <c r="D41" s="68"/>
      <c r="E41" s="68"/>
      <c r="F41" s="2"/>
    </row>
    <row r="42" spans="2:6" ht="15.75" x14ac:dyDescent="0.25">
      <c r="B42" s="69" t="s">
        <v>282</v>
      </c>
      <c r="C42" s="68"/>
      <c r="D42" s="68"/>
      <c r="E42" s="68"/>
      <c r="F42" s="115">
        <f>SUM(F29:F40)+0</f>
        <v>82300.002500000002</v>
      </c>
    </row>
    <row r="43" spans="2:6" ht="18.75" thickBot="1" x14ac:dyDescent="0.3">
      <c r="B43" s="278" t="s">
        <v>846</v>
      </c>
      <c r="F43" s="247">
        <f>+F16-F42</f>
        <v>246900.00750000001</v>
      </c>
    </row>
    <row r="44" spans="2:6" ht="13.5" thickTop="1" x14ac:dyDescent="0.2"/>
    <row r="47" spans="2:6" x14ac:dyDescent="0.2">
      <c r="F47" s="227"/>
    </row>
    <row r="48" spans="2:6" x14ac:dyDescent="0.2">
      <c r="F48" s="227"/>
    </row>
    <row r="49" spans="6:6" x14ac:dyDescent="0.2">
      <c r="F49" s="227"/>
    </row>
    <row r="50" spans="6:6" x14ac:dyDescent="0.2">
      <c r="F50" s="227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51181102362204722" right="0.51181102362204722" top="0.74803149606299213" bottom="0.74803149606299213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11"/>
  <sheetViews>
    <sheetView topLeftCell="B80" zoomScale="98" zoomScaleNormal="98" workbookViewId="0">
      <selection activeCell="G94" sqref="G94"/>
    </sheetView>
  </sheetViews>
  <sheetFormatPr baseColWidth="10" defaultColWidth="9.140625" defaultRowHeight="24.75" customHeight="1" x14ac:dyDescent="0.2"/>
  <cols>
    <col min="1" max="1" width="2.7109375" style="1" customWidth="1"/>
    <col min="2" max="2" width="29.42578125" style="1" customWidth="1"/>
    <col min="3" max="3" width="23.28515625" style="1" customWidth="1"/>
    <col min="4" max="5" width="18.5703125" style="1" bestFit="1" customWidth="1"/>
    <col min="6" max="6" width="17.85546875" style="1" bestFit="1" customWidth="1"/>
    <col min="7" max="7" width="17.7109375" style="1" customWidth="1"/>
    <col min="8" max="8" width="3.28515625" style="1" customWidth="1"/>
    <col min="9" max="10" width="18.7109375" style="1" bestFit="1" customWidth="1"/>
    <col min="11" max="11" width="19.28515625" style="1" customWidth="1"/>
    <col min="12" max="13" width="9.140625" style="1"/>
    <col min="14" max="14" width="13.140625" style="1" bestFit="1" customWidth="1"/>
    <col min="15" max="15" width="12.28515625" style="1" bestFit="1" customWidth="1"/>
    <col min="16" max="16" width="11.140625" style="1" bestFit="1" customWidth="1"/>
    <col min="17" max="18" width="15.140625" style="1" bestFit="1" customWidth="1"/>
    <col min="19" max="16384" width="9.140625" style="1"/>
  </cols>
  <sheetData>
    <row r="2" spans="2:11" ht="24.75" hidden="1" customHeight="1" x14ac:dyDescent="0.2"/>
    <row r="3" spans="2:11" ht="24.75" hidden="1" customHeight="1" x14ac:dyDescent="0.25">
      <c r="B3" s="471" t="s">
        <v>297</v>
      </c>
      <c r="C3" s="471"/>
      <c r="D3" s="471"/>
      <c r="E3" s="471"/>
      <c r="F3" s="471"/>
      <c r="G3" s="471"/>
      <c r="H3" s="471"/>
      <c r="I3" s="471"/>
      <c r="J3" s="471"/>
      <c r="K3" s="471"/>
    </row>
    <row r="4" spans="2:11" ht="24.75" hidden="1" customHeight="1" x14ac:dyDescent="0.25">
      <c r="B4" s="471" t="s">
        <v>208</v>
      </c>
      <c r="C4" s="471"/>
      <c r="D4" s="471"/>
      <c r="E4" s="471"/>
      <c r="F4" s="471"/>
      <c r="G4" s="471"/>
      <c r="H4" s="471"/>
      <c r="I4" s="471"/>
      <c r="J4" s="471"/>
      <c r="K4" s="471"/>
    </row>
    <row r="5" spans="2:11" ht="24.75" hidden="1" customHeight="1" x14ac:dyDescent="0.25">
      <c r="B5" s="471" t="s">
        <v>298</v>
      </c>
      <c r="C5" s="471"/>
      <c r="D5" s="471"/>
      <c r="E5" s="471"/>
      <c r="F5" s="471"/>
      <c r="G5" s="471"/>
      <c r="H5" s="471"/>
      <c r="I5" s="471"/>
      <c r="J5" s="471"/>
      <c r="K5" s="471"/>
    </row>
    <row r="6" spans="2:11" ht="24.75" hidden="1" customHeight="1" x14ac:dyDescent="0.25">
      <c r="B6" s="471" t="s">
        <v>403</v>
      </c>
      <c r="C6" s="471"/>
      <c r="D6" s="471"/>
      <c r="E6" s="471"/>
      <c r="F6" s="471"/>
      <c r="G6" s="471"/>
      <c r="H6" s="471"/>
      <c r="I6" s="471"/>
      <c r="J6" s="471"/>
      <c r="K6" s="471"/>
    </row>
    <row r="7" spans="2:11" ht="24.75" hidden="1" customHeight="1" x14ac:dyDescent="0.25">
      <c r="B7" s="482">
        <v>44985</v>
      </c>
      <c r="C7" s="482"/>
      <c r="D7" s="482"/>
      <c r="E7" s="482"/>
      <c r="F7" s="482"/>
      <c r="G7" s="482"/>
      <c r="H7" s="482"/>
      <c r="I7" s="482"/>
      <c r="J7" s="482"/>
      <c r="K7" s="482"/>
    </row>
    <row r="8" spans="2:11" ht="24.75" hidden="1" customHeight="1" thickBot="1" x14ac:dyDescent="0.3">
      <c r="B8" s="134"/>
      <c r="C8" s="134"/>
      <c r="D8" s="190"/>
      <c r="E8" s="134"/>
      <c r="F8" s="134"/>
      <c r="G8" s="134"/>
      <c r="H8" s="134"/>
      <c r="I8" s="189"/>
      <c r="J8" s="6"/>
    </row>
    <row r="9" spans="2:11" ht="32.25" hidden="1" customHeight="1" thickBot="1" x14ac:dyDescent="0.25">
      <c r="B9" s="181" t="s">
        <v>376</v>
      </c>
      <c r="C9" s="136" t="s">
        <v>402</v>
      </c>
      <c r="D9" s="136" t="s">
        <v>366</v>
      </c>
      <c r="E9" s="136" t="s">
        <v>365</v>
      </c>
      <c r="F9" s="136" t="s">
        <v>408</v>
      </c>
      <c r="G9" s="136" t="s">
        <v>404</v>
      </c>
      <c r="H9" s="136"/>
      <c r="I9" s="136" t="s">
        <v>375</v>
      </c>
      <c r="J9" s="136" t="s">
        <v>406</v>
      </c>
      <c r="K9" s="137" t="s">
        <v>405</v>
      </c>
    </row>
    <row r="10" spans="2:11" ht="30.95" hidden="1" customHeight="1" x14ac:dyDescent="0.2">
      <c r="B10" s="42" t="s">
        <v>367</v>
      </c>
      <c r="C10" s="29">
        <f>66547628.35-C11-C12-D10-F10+30222.22</f>
        <v>45365380.650000006</v>
      </c>
      <c r="D10" s="29">
        <v>19538995.010000002</v>
      </c>
      <c r="E10" s="29">
        <v>11791797.619999999</v>
      </c>
      <c r="F10" s="29">
        <v>1003826</v>
      </c>
      <c r="G10" s="139">
        <f>SUM(C10:F10)</f>
        <v>77699999.280000016</v>
      </c>
      <c r="H10" s="29"/>
      <c r="I10" s="139">
        <v>11101060.779999999</v>
      </c>
      <c r="J10" s="139">
        <f>+I10</f>
        <v>11101060.779999999</v>
      </c>
      <c r="K10" s="38">
        <f>+G10+J10</f>
        <v>88801060.060000017</v>
      </c>
    </row>
    <row r="11" spans="2:11" ht="30.95" hidden="1" customHeight="1" x14ac:dyDescent="0.2">
      <c r="B11" s="43" t="s">
        <v>368</v>
      </c>
      <c r="C11" s="184">
        <v>342200</v>
      </c>
      <c r="D11" s="184">
        <v>0</v>
      </c>
      <c r="E11" s="184">
        <v>18880</v>
      </c>
      <c r="F11" s="184">
        <v>0</v>
      </c>
      <c r="G11" s="139">
        <f>SUM(C11:F11)</f>
        <v>361080</v>
      </c>
      <c r="H11" s="13"/>
      <c r="I11" s="184">
        <v>0</v>
      </c>
      <c r="J11" s="184">
        <f>+I11</f>
        <v>0</v>
      </c>
      <c r="K11" s="39">
        <f>+G11+J11</f>
        <v>361080</v>
      </c>
    </row>
    <row r="12" spans="2:11" ht="30.95" hidden="1" customHeight="1" x14ac:dyDescent="0.2">
      <c r="B12" s="43" t="s">
        <v>369</v>
      </c>
      <c r="C12" s="184">
        <f>376551.13-18880-30222.22</f>
        <v>327448.91000000003</v>
      </c>
      <c r="D12" s="184">
        <v>0</v>
      </c>
      <c r="E12" s="184">
        <v>0</v>
      </c>
      <c r="F12" s="184">
        <v>0</v>
      </c>
      <c r="G12" s="139">
        <f>SUM(C12:F12)</f>
        <v>327448.91000000003</v>
      </c>
      <c r="H12" s="13"/>
      <c r="I12" s="184">
        <v>0</v>
      </c>
      <c r="J12" s="184">
        <f>+I12</f>
        <v>0</v>
      </c>
      <c r="K12" s="39">
        <f>+G12+J12</f>
        <v>327448.91000000003</v>
      </c>
    </row>
    <row r="13" spans="2:11" ht="30.95" hidden="1" customHeight="1" x14ac:dyDescent="0.35">
      <c r="B13" s="43" t="s">
        <v>370</v>
      </c>
      <c r="C13" s="185">
        <v>0</v>
      </c>
      <c r="D13" s="185">
        <v>0</v>
      </c>
      <c r="E13" s="185">
        <v>0</v>
      </c>
      <c r="F13" s="185">
        <v>0</v>
      </c>
      <c r="G13" s="191">
        <f>SUM(C13:F13)</f>
        <v>0</v>
      </c>
      <c r="H13" s="55"/>
      <c r="I13" s="185">
        <v>0</v>
      </c>
      <c r="J13" s="185">
        <f>+I13</f>
        <v>0</v>
      </c>
      <c r="K13" s="40">
        <f>+G13+J13</f>
        <v>0</v>
      </c>
    </row>
    <row r="14" spans="2:11" ht="30.95" hidden="1" customHeight="1" x14ac:dyDescent="0.25">
      <c r="B14" s="44" t="s">
        <v>378</v>
      </c>
      <c r="C14" s="26">
        <f>SUM(C10:C13)</f>
        <v>46035029.560000002</v>
      </c>
      <c r="D14" s="26">
        <f>SUM(D10:D13)</f>
        <v>19538995.010000002</v>
      </c>
      <c r="E14" s="183">
        <f>SUM(E10:E13)</f>
        <v>11810677.619999999</v>
      </c>
      <c r="F14" s="183">
        <f>SUM(F10:F13)</f>
        <v>1003826</v>
      </c>
      <c r="G14" s="26">
        <f>SUM(G10:G13)</f>
        <v>78388528.190000013</v>
      </c>
      <c r="H14" s="26"/>
      <c r="I14" s="183">
        <f>SUM(I10:I13)</f>
        <v>11101060.779999999</v>
      </c>
      <c r="J14" s="183">
        <f>SUM(J10:J13)</f>
        <v>11101060.779999999</v>
      </c>
      <c r="K14" s="135">
        <f>SUM(K10:K13)</f>
        <v>89489588.970000014</v>
      </c>
    </row>
    <row r="15" spans="2:11" ht="30.95" hidden="1" customHeight="1" x14ac:dyDescent="0.25">
      <c r="B15" s="43"/>
      <c r="C15" s="13"/>
      <c r="D15" s="13"/>
      <c r="E15" s="13"/>
      <c r="F15" s="13"/>
      <c r="G15" s="13"/>
      <c r="H15" s="13"/>
      <c r="I15" s="184"/>
      <c r="J15" s="183"/>
      <c r="K15" s="135"/>
    </row>
    <row r="16" spans="2:11" ht="30.95" hidden="1" customHeight="1" x14ac:dyDescent="0.25">
      <c r="B16" s="182" t="s">
        <v>371</v>
      </c>
      <c r="C16" s="26"/>
      <c r="D16" s="26"/>
      <c r="E16" s="26"/>
      <c r="F16" s="26"/>
      <c r="G16" s="26"/>
      <c r="H16" s="26"/>
      <c r="I16" s="183"/>
      <c r="J16" s="183"/>
      <c r="K16" s="135"/>
    </row>
    <row r="17" spans="2:11" ht="30.95" hidden="1" customHeight="1" x14ac:dyDescent="0.2">
      <c r="B17" s="43" t="s">
        <v>367</v>
      </c>
      <c r="C17" s="13">
        <f>71893589.76-19538995.01-11136766.71-11101060.78-66921.8</f>
        <v>30049845.459999997</v>
      </c>
      <c r="D17" s="13">
        <v>19538995.010000002</v>
      </c>
      <c r="E17" s="13">
        <v>11136766.710000001</v>
      </c>
      <c r="F17" s="13">
        <f>83652.25-16730.45</f>
        <v>66921.8</v>
      </c>
      <c r="G17" s="139">
        <f>SUM(C17:F17)</f>
        <v>60792528.979999997</v>
      </c>
      <c r="H17" s="13"/>
      <c r="I17" s="184">
        <v>11101060.779999999</v>
      </c>
      <c r="J17" s="184">
        <f>+I17</f>
        <v>11101060.779999999</v>
      </c>
      <c r="K17" s="39">
        <f>+G17+J17</f>
        <v>71893589.75999999</v>
      </c>
    </row>
    <row r="18" spans="2:11" ht="30.95" hidden="1" customHeight="1" x14ac:dyDescent="0.2">
      <c r="B18" s="43" t="s">
        <v>372</v>
      </c>
      <c r="C18" s="13">
        <f>668619.67-128202.67-16730.45</f>
        <v>523686.55</v>
      </c>
      <c r="D18" s="13">
        <v>0</v>
      </c>
      <c r="E18" s="13">
        <v>128202.67</v>
      </c>
      <c r="F18" s="13">
        <v>16730.45</v>
      </c>
      <c r="G18" s="139">
        <f>SUM(C18:F18)</f>
        <v>668619.66999999993</v>
      </c>
      <c r="H18" s="13"/>
      <c r="I18" s="184">
        <v>0</v>
      </c>
      <c r="J18" s="184">
        <f>+I18</f>
        <v>0</v>
      </c>
      <c r="K18" s="39">
        <f>+G18+J18</f>
        <v>668619.66999999993</v>
      </c>
    </row>
    <row r="19" spans="2:11" ht="30.95" hidden="1" customHeight="1" x14ac:dyDescent="0.2">
      <c r="B19" s="43" t="s">
        <v>370</v>
      </c>
      <c r="C19" s="13">
        <v>0</v>
      </c>
      <c r="D19" s="13">
        <v>0</v>
      </c>
      <c r="E19" s="13">
        <v>0</v>
      </c>
      <c r="F19" s="13"/>
      <c r="G19" s="139">
        <f>SUM(C19:F19)</f>
        <v>0</v>
      </c>
      <c r="H19" s="13"/>
      <c r="I19" s="184">
        <v>0</v>
      </c>
      <c r="J19" s="184">
        <f>+I19</f>
        <v>0</v>
      </c>
      <c r="K19" s="39">
        <f>+G19+J19</f>
        <v>0</v>
      </c>
    </row>
    <row r="20" spans="2:11" ht="30.95" hidden="1" customHeight="1" x14ac:dyDescent="0.35">
      <c r="B20" s="43" t="s">
        <v>373</v>
      </c>
      <c r="C20" s="55">
        <v>0</v>
      </c>
      <c r="D20" s="55">
        <v>0</v>
      </c>
      <c r="E20" s="55">
        <v>0</v>
      </c>
      <c r="F20" s="55">
        <v>0</v>
      </c>
      <c r="G20" s="191">
        <f>SUM(C20:F20)</f>
        <v>0</v>
      </c>
      <c r="H20" s="55"/>
      <c r="I20" s="185">
        <v>0</v>
      </c>
      <c r="J20" s="185">
        <f>+I20</f>
        <v>0</v>
      </c>
      <c r="K20" s="40">
        <f>+G20+J20</f>
        <v>0</v>
      </c>
    </row>
    <row r="21" spans="2:11" ht="30.95" hidden="1" customHeight="1" x14ac:dyDescent="0.55000000000000004">
      <c r="B21" s="44" t="s">
        <v>377</v>
      </c>
      <c r="C21" s="138">
        <f>SUM(C17:C20)</f>
        <v>30573532.009999998</v>
      </c>
      <c r="D21" s="138">
        <f>SUM(D17:D20)</f>
        <v>19538995.010000002</v>
      </c>
      <c r="E21" s="138">
        <f>SUM(E17:E20)</f>
        <v>11264969.380000001</v>
      </c>
      <c r="F21" s="138">
        <f>SUM(F17:F20)</f>
        <v>83652.25</v>
      </c>
      <c r="G21" s="138">
        <f>SUM(G17:G20)</f>
        <v>61461148.649999999</v>
      </c>
      <c r="H21" s="138"/>
      <c r="I21" s="186">
        <f>SUM(I17:I20)</f>
        <v>11101060.779999999</v>
      </c>
      <c r="J21" s="186">
        <f>SUM(J17:J20)</f>
        <v>11101060.779999999</v>
      </c>
      <c r="K21" s="140">
        <f>SUM(K17:K20)</f>
        <v>72562209.429999992</v>
      </c>
    </row>
    <row r="22" spans="2:11" ht="30.95" hidden="1" customHeight="1" x14ac:dyDescent="0.55000000000000004">
      <c r="B22" s="44"/>
      <c r="C22" s="138"/>
      <c r="D22" s="138"/>
      <c r="E22" s="138"/>
      <c r="F22" s="138"/>
      <c r="G22" s="138"/>
      <c r="H22" s="138"/>
      <c r="I22" s="184"/>
      <c r="J22" s="184"/>
      <c r="K22" s="39"/>
    </row>
    <row r="23" spans="2:11" ht="30.95" hidden="1" customHeight="1" x14ac:dyDescent="0.4">
      <c r="B23" s="44" t="s">
        <v>374</v>
      </c>
      <c r="C23" s="27">
        <f>+C14-C21</f>
        <v>15461497.550000004</v>
      </c>
      <c r="D23" s="27">
        <f>+D14-D21</f>
        <v>0</v>
      </c>
      <c r="E23" s="27">
        <f>+E14-E21</f>
        <v>545708.23999999836</v>
      </c>
      <c r="F23" s="27">
        <f>+F14-F21</f>
        <v>920173.75</v>
      </c>
      <c r="G23" s="27">
        <f>+G14-G21</f>
        <v>16927379.540000014</v>
      </c>
      <c r="H23" s="27"/>
      <c r="I23" s="187">
        <f>+I14-I21</f>
        <v>0</v>
      </c>
      <c r="J23" s="187">
        <f>+J14-J21</f>
        <v>0</v>
      </c>
      <c r="K23" s="41">
        <f>+K14-K21</f>
        <v>16927379.540000021</v>
      </c>
    </row>
    <row r="24" spans="2:11" ht="24.75" hidden="1" customHeight="1" thickBot="1" x14ac:dyDescent="0.25">
      <c r="B24" s="51"/>
      <c r="C24" s="141"/>
      <c r="D24" s="141"/>
      <c r="E24" s="141"/>
      <c r="F24" s="141"/>
      <c r="G24" s="141"/>
      <c r="H24" s="141"/>
      <c r="I24" s="188"/>
      <c r="J24" s="188"/>
      <c r="K24" s="133"/>
    </row>
    <row r="25" spans="2:11" ht="24.75" customHeight="1" x14ac:dyDescent="0.2">
      <c r="C25" s="2"/>
      <c r="D25" s="2"/>
      <c r="E25" s="2"/>
      <c r="F25" s="2"/>
      <c r="G25" s="2"/>
      <c r="H25" s="2"/>
      <c r="I25" s="2"/>
      <c r="J25" s="2"/>
      <c r="K25" s="2"/>
    </row>
    <row r="26" spans="2:11" ht="24.75" hidden="1" customHeight="1" x14ac:dyDescent="0.2">
      <c r="F26" s="6"/>
    </row>
    <row r="27" spans="2:11" ht="24.75" hidden="1" customHeight="1" x14ac:dyDescent="0.2"/>
    <row r="28" spans="2:11" ht="24.75" hidden="1" customHeight="1" x14ac:dyDescent="0.25">
      <c r="B28" s="471" t="s">
        <v>297</v>
      </c>
      <c r="C28" s="471"/>
      <c r="D28" s="471"/>
      <c r="E28" s="471"/>
      <c r="F28" s="471"/>
      <c r="G28" s="471"/>
      <c r="H28" s="471"/>
      <c r="I28" s="471"/>
      <c r="J28" s="471"/>
      <c r="K28" s="471"/>
    </row>
    <row r="29" spans="2:11" ht="24.75" hidden="1" customHeight="1" x14ac:dyDescent="0.25">
      <c r="B29" s="471" t="s">
        <v>208</v>
      </c>
      <c r="C29" s="471"/>
      <c r="D29" s="471"/>
      <c r="E29" s="471"/>
      <c r="F29" s="471"/>
      <c r="G29" s="471"/>
      <c r="H29" s="471"/>
      <c r="I29" s="471"/>
      <c r="J29" s="471"/>
      <c r="K29" s="471"/>
    </row>
    <row r="30" spans="2:11" ht="24.75" hidden="1" customHeight="1" x14ac:dyDescent="0.25">
      <c r="B30" s="471" t="s">
        <v>298</v>
      </c>
      <c r="C30" s="471"/>
      <c r="D30" s="471"/>
      <c r="E30" s="471"/>
      <c r="F30" s="471"/>
      <c r="G30" s="471"/>
      <c r="H30" s="471"/>
      <c r="I30" s="471"/>
      <c r="J30" s="471"/>
      <c r="K30" s="471"/>
    </row>
    <row r="31" spans="2:11" ht="24.75" hidden="1" customHeight="1" x14ac:dyDescent="0.25">
      <c r="B31" s="471" t="s">
        <v>403</v>
      </c>
      <c r="C31" s="471"/>
      <c r="D31" s="471"/>
      <c r="E31" s="471"/>
      <c r="F31" s="471"/>
      <c r="G31" s="471"/>
      <c r="H31" s="471"/>
      <c r="I31" s="471"/>
      <c r="J31" s="471"/>
      <c r="K31" s="471"/>
    </row>
    <row r="32" spans="2:11" ht="24.75" hidden="1" customHeight="1" x14ac:dyDescent="0.25">
      <c r="B32" s="482">
        <v>44985</v>
      </c>
      <c r="C32" s="482"/>
      <c r="D32" s="482"/>
      <c r="E32" s="482"/>
      <c r="F32" s="482"/>
      <c r="G32" s="482"/>
      <c r="H32" s="482"/>
      <c r="I32" s="482"/>
      <c r="J32" s="482"/>
      <c r="K32" s="482"/>
    </row>
    <row r="33" spans="2:11" ht="24.75" hidden="1" customHeight="1" thickBot="1" x14ac:dyDescent="0.3">
      <c r="B33" s="134"/>
      <c r="C33" s="134"/>
      <c r="D33" s="190"/>
      <c r="E33" s="134"/>
      <c r="F33" s="134"/>
      <c r="G33" s="134"/>
      <c r="H33" s="134"/>
      <c r="I33" s="189"/>
      <c r="J33" s="6"/>
    </row>
    <row r="34" spans="2:11" ht="38.25" hidden="1" customHeight="1" thickBot="1" x14ac:dyDescent="0.25">
      <c r="B34" s="181" t="s">
        <v>376</v>
      </c>
      <c r="C34" s="136" t="s">
        <v>402</v>
      </c>
      <c r="D34" s="136" t="s">
        <v>366</v>
      </c>
      <c r="E34" s="136" t="s">
        <v>365</v>
      </c>
      <c r="F34" s="136" t="s">
        <v>408</v>
      </c>
      <c r="G34" s="136" t="s">
        <v>404</v>
      </c>
      <c r="H34" s="136"/>
      <c r="I34" s="136" t="s">
        <v>375</v>
      </c>
      <c r="J34" s="136" t="s">
        <v>406</v>
      </c>
      <c r="K34" s="137" t="s">
        <v>405</v>
      </c>
    </row>
    <row r="35" spans="2:11" ht="24.75" hidden="1" customHeight="1" x14ac:dyDescent="0.2">
      <c r="B35" s="42" t="s">
        <v>367</v>
      </c>
      <c r="C35" s="29">
        <f>45365380.65+342200+327448.91</f>
        <v>46035029.559999995</v>
      </c>
      <c r="D35" s="29">
        <v>19538995.010000002</v>
      </c>
      <c r="E35" s="29">
        <f>11791797.62+18880</f>
        <v>11810677.619999999</v>
      </c>
      <c r="F35" s="29">
        <v>1003826</v>
      </c>
      <c r="G35" s="139">
        <f>SUM(C35:F35)</f>
        <v>78388528.189999998</v>
      </c>
      <c r="H35" s="29"/>
      <c r="I35" s="139">
        <v>11101060.779999999</v>
      </c>
      <c r="J35" s="139">
        <f>+I35</f>
        <v>11101060.779999999</v>
      </c>
      <c r="K35" s="38">
        <f>+G35+J35</f>
        <v>89489588.969999999</v>
      </c>
    </row>
    <row r="36" spans="2:11" ht="24.75" hidden="1" customHeight="1" x14ac:dyDescent="0.2">
      <c r="B36" s="43" t="s">
        <v>368</v>
      </c>
      <c r="C36" s="184">
        <f>5204286.96</f>
        <v>5204286.96</v>
      </c>
      <c r="D36" s="184">
        <v>0</v>
      </c>
      <c r="E36" s="184">
        <v>0</v>
      </c>
      <c r="F36" s="184">
        <v>0</v>
      </c>
      <c r="G36" s="139">
        <f>SUM(C36:F36)</f>
        <v>5204286.96</v>
      </c>
      <c r="H36" s="13"/>
      <c r="I36" s="184">
        <v>0</v>
      </c>
      <c r="J36" s="184">
        <f>+I36</f>
        <v>0</v>
      </c>
      <c r="K36" s="39">
        <f>+G36+J36</f>
        <v>5204286.96</v>
      </c>
    </row>
    <row r="37" spans="2:11" ht="24.75" hidden="1" customHeight="1" x14ac:dyDescent="0.2">
      <c r="B37" s="43" t="s">
        <v>369</v>
      </c>
      <c r="C37" s="184"/>
      <c r="D37" s="184">
        <v>0</v>
      </c>
      <c r="E37" s="184">
        <v>0</v>
      </c>
      <c r="F37" s="184">
        <v>0</v>
      </c>
      <c r="G37" s="139">
        <f>SUM(C37:F37)</f>
        <v>0</v>
      </c>
      <c r="H37" s="13"/>
      <c r="I37" s="184">
        <v>0</v>
      </c>
      <c r="J37" s="184">
        <f>+I37</f>
        <v>0</v>
      </c>
      <c r="K37" s="39">
        <f>+G37+J37</f>
        <v>0</v>
      </c>
    </row>
    <row r="38" spans="2:11" ht="24.75" hidden="1" customHeight="1" x14ac:dyDescent="0.35">
      <c r="B38" s="43" t="s">
        <v>370</v>
      </c>
      <c r="C38" s="185">
        <v>0</v>
      </c>
      <c r="D38" s="185">
        <v>0</v>
      </c>
      <c r="E38" s="185">
        <v>0</v>
      </c>
      <c r="F38" s="185">
        <v>0</v>
      </c>
      <c r="G38" s="191">
        <f>SUM(C38:F38)</f>
        <v>0</v>
      </c>
      <c r="H38" s="55"/>
      <c r="I38" s="185">
        <v>0</v>
      </c>
      <c r="J38" s="185">
        <f>+I38</f>
        <v>0</v>
      </c>
      <c r="K38" s="40">
        <f>+G38+J38</f>
        <v>0</v>
      </c>
    </row>
    <row r="39" spans="2:11" ht="24.75" hidden="1" customHeight="1" x14ac:dyDescent="0.25">
      <c r="B39" s="44" t="s">
        <v>378</v>
      </c>
      <c r="C39" s="26">
        <f>SUM(C35:C38)</f>
        <v>51239316.519999996</v>
      </c>
      <c r="D39" s="26">
        <f>SUM(D35:D38)</f>
        <v>19538995.010000002</v>
      </c>
      <c r="E39" s="183">
        <f>SUM(E35:E38)</f>
        <v>11810677.619999999</v>
      </c>
      <c r="F39" s="183">
        <f>SUM(F35:F38)</f>
        <v>1003826</v>
      </c>
      <c r="G39" s="26">
        <f>SUM(G35:G38)</f>
        <v>83592815.149999991</v>
      </c>
      <c r="H39" s="26"/>
      <c r="I39" s="183">
        <f>SUM(I35:I38)</f>
        <v>11101060.779999999</v>
      </c>
      <c r="J39" s="183">
        <f>SUM(J35:J38)</f>
        <v>11101060.779999999</v>
      </c>
      <c r="K39" s="135">
        <f>SUM(K35:K38)</f>
        <v>94693875.929999992</v>
      </c>
    </row>
    <row r="40" spans="2:11" ht="24.75" hidden="1" customHeight="1" x14ac:dyDescent="0.25">
      <c r="B40" s="43"/>
      <c r="C40" s="13"/>
      <c r="D40" s="13"/>
      <c r="E40" s="13"/>
      <c r="F40" s="13"/>
      <c r="G40" s="13"/>
      <c r="H40" s="13"/>
      <c r="I40" s="184"/>
      <c r="J40" s="183"/>
      <c r="K40" s="135"/>
    </row>
    <row r="41" spans="2:11" ht="24.75" hidden="1" customHeight="1" x14ac:dyDescent="0.25">
      <c r="B41" s="182" t="s">
        <v>371</v>
      </c>
      <c r="C41" s="26"/>
      <c r="D41" s="26"/>
      <c r="E41" s="26"/>
      <c r="F41" s="26"/>
      <c r="G41" s="26"/>
      <c r="H41" s="26"/>
      <c r="I41" s="183"/>
      <c r="J41" s="183"/>
      <c r="K41" s="135"/>
    </row>
    <row r="42" spans="2:11" ht="24.75" hidden="1" customHeight="1" x14ac:dyDescent="0.2">
      <c r="B42" s="43" t="s">
        <v>367</v>
      </c>
      <c r="C42" s="13">
        <f>71893589.76-19538995.01-11136766.71-11101060.78-66921.8+523686.55</f>
        <v>30573532.009999998</v>
      </c>
      <c r="D42" s="13">
        <v>19538995.010000002</v>
      </c>
      <c r="E42" s="13">
        <f>11136766.71+128202.67</f>
        <v>11264969.380000001</v>
      </c>
      <c r="F42" s="13">
        <f>83652.25-16730.45+16730.45</f>
        <v>83652.25</v>
      </c>
      <c r="G42" s="139">
        <f>SUM(C42:F42)</f>
        <v>61461148.649999999</v>
      </c>
      <c r="H42" s="13"/>
      <c r="I42" s="184">
        <v>11101060.779999999</v>
      </c>
      <c r="J42" s="184">
        <f>+I42</f>
        <v>11101060.779999999</v>
      </c>
      <c r="K42" s="39">
        <f>+G42+J42</f>
        <v>72562209.429999992</v>
      </c>
    </row>
    <row r="43" spans="2:11" ht="24.75" hidden="1" customHeight="1" x14ac:dyDescent="0.2">
      <c r="B43" s="43" t="s">
        <v>372</v>
      </c>
      <c r="C43" s="13">
        <f>2485056.29</f>
        <v>2485056.29</v>
      </c>
      <c r="D43" s="13">
        <v>0</v>
      </c>
      <c r="E43" s="13">
        <v>0</v>
      </c>
      <c r="F43" s="13">
        <v>0</v>
      </c>
      <c r="G43" s="139">
        <f>SUM(C43:F43)</f>
        <v>2485056.29</v>
      </c>
      <c r="H43" s="13"/>
      <c r="I43" s="184">
        <v>0</v>
      </c>
      <c r="J43" s="184">
        <f>+I43</f>
        <v>0</v>
      </c>
      <c r="K43" s="39">
        <f>+G43+J43</f>
        <v>2485056.29</v>
      </c>
    </row>
    <row r="44" spans="2:11" ht="24.75" hidden="1" customHeight="1" x14ac:dyDescent="0.2">
      <c r="B44" s="43" t="s">
        <v>370</v>
      </c>
      <c r="C44" s="13">
        <v>1431823.51</v>
      </c>
      <c r="D44" s="13">
        <v>0</v>
      </c>
      <c r="E44" s="13">
        <v>0</v>
      </c>
      <c r="F44" s="13"/>
      <c r="G44" s="139">
        <f>SUM(C44:F44)</f>
        <v>1431823.51</v>
      </c>
      <c r="H44" s="13"/>
      <c r="I44" s="184">
        <v>0</v>
      </c>
      <c r="J44" s="184">
        <f>+I44</f>
        <v>0</v>
      </c>
      <c r="K44" s="39">
        <f>+G44+J44</f>
        <v>1431823.51</v>
      </c>
    </row>
    <row r="45" spans="2:11" ht="24.75" hidden="1" customHeight="1" x14ac:dyDescent="0.35">
      <c r="B45" s="43" t="s">
        <v>373</v>
      </c>
      <c r="C45" s="55">
        <v>0</v>
      </c>
      <c r="D45" s="55">
        <v>0</v>
      </c>
      <c r="E45" s="55">
        <v>0</v>
      </c>
      <c r="F45" s="55">
        <v>0</v>
      </c>
      <c r="G45" s="191">
        <f>SUM(C45:F45)</f>
        <v>0</v>
      </c>
      <c r="H45" s="55"/>
      <c r="I45" s="185">
        <v>0</v>
      </c>
      <c r="J45" s="185">
        <f>+I45</f>
        <v>0</v>
      </c>
      <c r="K45" s="40">
        <f>+G45+J45</f>
        <v>0</v>
      </c>
    </row>
    <row r="46" spans="2:11" ht="24.75" hidden="1" customHeight="1" x14ac:dyDescent="0.55000000000000004">
      <c r="B46" s="44" t="s">
        <v>377</v>
      </c>
      <c r="C46" s="138">
        <f>+C42+C43-C44</f>
        <v>31626764.789999995</v>
      </c>
      <c r="D46" s="138">
        <f>SUM(D42:D45)</f>
        <v>19538995.010000002</v>
      </c>
      <c r="E46" s="138">
        <f>SUM(E42:E45)</f>
        <v>11264969.380000001</v>
      </c>
      <c r="F46" s="138">
        <f>SUM(F42:F45)</f>
        <v>83652.25</v>
      </c>
      <c r="G46" s="138">
        <f>+G42+G43-G44</f>
        <v>62514381.43</v>
      </c>
      <c r="H46" s="138"/>
      <c r="I46" s="186">
        <f>SUM(I42:I45)</f>
        <v>11101060.779999999</v>
      </c>
      <c r="J46" s="186">
        <f>SUM(J42:J45)</f>
        <v>11101060.779999999</v>
      </c>
      <c r="K46" s="140">
        <f>+G46+J46</f>
        <v>73615442.209999993</v>
      </c>
    </row>
    <row r="47" spans="2:11" ht="24.75" hidden="1" customHeight="1" x14ac:dyDescent="0.55000000000000004">
      <c r="B47" s="44"/>
      <c r="C47" s="138"/>
      <c r="D47" s="138"/>
      <c r="E47" s="138"/>
      <c r="F47" s="138"/>
      <c r="G47" s="138"/>
      <c r="H47" s="138"/>
      <c r="I47" s="184"/>
      <c r="J47" s="184"/>
      <c r="K47" s="39"/>
    </row>
    <row r="48" spans="2:11" ht="24.75" hidden="1" customHeight="1" x14ac:dyDescent="0.4">
      <c r="B48" s="44" t="s">
        <v>374</v>
      </c>
      <c r="C48" s="27">
        <f>+C39-C46</f>
        <v>19612551.73</v>
      </c>
      <c r="D48" s="27">
        <f>+D39-D46</f>
        <v>0</v>
      </c>
      <c r="E48" s="27">
        <f>+E39-E46</f>
        <v>545708.23999999836</v>
      </c>
      <c r="F48" s="27">
        <f>+F39-F46</f>
        <v>920173.75</v>
      </c>
      <c r="G48" s="27">
        <f>+G39-G46</f>
        <v>21078433.719999991</v>
      </c>
      <c r="H48" s="27"/>
      <c r="I48" s="187">
        <f>+I39-I46</f>
        <v>0</v>
      </c>
      <c r="J48" s="187">
        <f>+J39-J46</f>
        <v>0</v>
      </c>
      <c r="K48" s="41">
        <f>+K39-K46</f>
        <v>21078433.719999999</v>
      </c>
    </row>
    <row r="49" spans="1:11" ht="24.75" hidden="1" customHeight="1" thickBot="1" x14ac:dyDescent="0.25">
      <c r="B49" s="51"/>
      <c r="C49" s="141"/>
      <c r="D49" s="141"/>
      <c r="E49" s="141"/>
      <c r="F49" s="141"/>
      <c r="G49" s="141"/>
      <c r="H49" s="141"/>
      <c r="I49" s="188"/>
      <c r="J49" s="188"/>
      <c r="K49" s="133"/>
    </row>
    <row r="50" spans="1:11" ht="24.75" hidden="1" customHeight="1" x14ac:dyDescent="0.2">
      <c r="C50" s="2"/>
      <c r="D50" s="2"/>
      <c r="E50" s="2"/>
      <c r="F50" s="2"/>
      <c r="G50" s="2"/>
      <c r="H50" s="2"/>
      <c r="I50" s="2"/>
      <c r="J50" s="2"/>
      <c r="K50" s="2"/>
    </row>
    <row r="51" spans="1:11" ht="24.75" customHeight="1" x14ac:dyDescent="0.2">
      <c r="C51" s="2"/>
    </row>
    <row r="52" spans="1:11" customFormat="1" ht="15.75" x14ac:dyDescent="0.25">
      <c r="A52" s="1"/>
      <c r="B52" s="471" t="s">
        <v>297</v>
      </c>
      <c r="C52" s="471"/>
      <c r="D52" s="471"/>
      <c r="E52" s="471"/>
      <c r="F52" s="471"/>
      <c r="G52" s="471"/>
      <c r="H52" s="471"/>
      <c r="I52" s="471"/>
      <c r="J52" s="471"/>
      <c r="K52" s="471"/>
    </row>
    <row r="53" spans="1:11" customFormat="1" ht="15.75" x14ac:dyDescent="0.25">
      <c r="A53" s="1"/>
      <c r="B53" s="471" t="s">
        <v>208</v>
      </c>
      <c r="C53" s="471"/>
      <c r="D53" s="471"/>
      <c r="E53" s="471"/>
      <c r="F53" s="471"/>
      <c r="G53" s="471"/>
      <c r="H53" s="471"/>
      <c r="I53" s="471"/>
      <c r="J53" s="471"/>
      <c r="K53" s="471"/>
    </row>
    <row r="54" spans="1:11" customFormat="1" ht="15.75" x14ac:dyDescent="0.25">
      <c r="A54" s="1"/>
      <c r="B54" s="471" t="s">
        <v>298</v>
      </c>
      <c r="C54" s="471"/>
      <c r="D54" s="471"/>
      <c r="E54" s="471"/>
      <c r="F54" s="471"/>
      <c r="G54" s="471"/>
      <c r="H54" s="471"/>
      <c r="I54" s="471"/>
      <c r="J54" s="471"/>
      <c r="K54" s="471"/>
    </row>
    <row r="55" spans="1:11" customFormat="1" ht="15.75" x14ac:dyDescent="0.25">
      <c r="A55" s="1"/>
      <c r="B55" s="471" t="s">
        <v>403</v>
      </c>
      <c r="C55" s="471"/>
      <c r="D55" s="471"/>
      <c r="E55" s="471"/>
      <c r="F55" s="471"/>
      <c r="G55" s="471"/>
      <c r="H55" s="471"/>
      <c r="I55" s="471"/>
      <c r="J55" s="471"/>
      <c r="K55" s="471"/>
    </row>
    <row r="56" spans="1:11" customFormat="1" ht="15.75" x14ac:dyDescent="0.25">
      <c r="A56" s="1"/>
      <c r="B56" s="482">
        <v>45291</v>
      </c>
      <c r="C56" s="482"/>
      <c r="D56" s="482"/>
      <c r="E56" s="482"/>
      <c r="F56" s="482"/>
      <c r="G56" s="482"/>
      <c r="H56" s="482"/>
      <c r="I56" s="482"/>
      <c r="J56" s="482"/>
      <c r="K56" s="482"/>
    </row>
    <row r="57" spans="1:11" customFormat="1" ht="15.75" x14ac:dyDescent="0.25">
      <c r="A57" s="1"/>
      <c r="B57" s="134"/>
      <c r="C57" s="134"/>
      <c r="D57" s="190"/>
      <c r="E57" s="134"/>
      <c r="F57" s="134"/>
      <c r="G57" s="134"/>
      <c r="H57" s="134"/>
      <c r="I57" s="194"/>
      <c r="J57" s="6"/>
      <c r="K57" s="1"/>
    </row>
    <row r="58" spans="1:11" customFormat="1" ht="30.75" hidden="1" thickBot="1" x14ac:dyDescent="0.25">
      <c r="A58" s="1"/>
      <c r="B58" s="195" t="s">
        <v>376</v>
      </c>
      <c r="C58" s="196" t="s">
        <v>402</v>
      </c>
      <c r="D58" s="196" t="s">
        <v>366</v>
      </c>
      <c r="E58" s="196" t="s">
        <v>365</v>
      </c>
      <c r="F58" s="196" t="s">
        <v>408</v>
      </c>
      <c r="G58" s="196" t="s">
        <v>404</v>
      </c>
      <c r="H58" s="196"/>
      <c r="I58" s="196" t="s">
        <v>375</v>
      </c>
      <c r="J58" s="196" t="s">
        <v>406</v>
      </c>
      <c r="K58" s="197" t="s">
        <v>405</v>
      </c>
    </row>
    <row r="59" spans="1:11" customFormat="1" ht="15" hidden="1" x14ac:dyDescent="0.2">
      <c r="A59" s="1"/>
      <c r="B59" s="42" t="s">
        <v>367</v>
      </c>
      <c r="C59" s="198">
        <v>46035029.560000002</v>
      </c>
      <c r="D59" s="198">
        <v>19538995.010000002</v>
      </c>
      <c r="E59" s="198">
        <v>11810677.619999999</v>
      </c>
      <c r="F59" s="198">
        <v>1003826</v>
      </c>
      <c r="G59" s="199">
        <v>78388528.189999998</v>
      </c>
      <c r="H59" s="198"/>
      <c r="I59" s="199">
        <v>12277453.01</v>
      </c>
      <c r="J59" s="199">
        <v>12277453.01</v>
      </c>
      <c r="K59" s="200">
        <v>90665981.200000003</v>
      </c>
    </row>
    <row r="60" spans="1:11" customFormat="1" ht="15" hidden="1" x14ac:dyDescent="0.2">
      <c r="A60" s="1"/>
      <c r="B60" s="43" t="s">
        <v>368</v>
      </c>
      <c r="C60" s="201">
        <v>4858846.95</v>
      </c>
      <c r="D60" s="201">
        <v>0</v>
      </c>
      <c r="E60" s="201"/>
      <c r="F60" s="201">
        <v>0</v>
      </c>
      <c r="G60" s="199">
        <v>4858846.95</v>
      </c>
      <c r="H60" s="202"/>
      <c r="I60" s="201">
        <v>0</v>
      </c>
      <c r="J60" s="201">
        <v>0</v>
      </c>
      <c r="K60" s="203">
        <v>4858846.95</v>
      </c>
    </row>
    <row r="61" spans="1:11" customFormat="1" ht="15" hidden="1" x14ac:dyDescent="0.2">
      <c r="A61" s="1"/>
      <c r="B61" s="43" t="s">
        <v>369</v>
      </c>
      <c r="C61" s="201"/>
      <c r="D61" s="201">
        <v>0</v>
      </c>
      <c r="E61" s="201">
        <v>0</v>
      </c>
      <c r="F61" s="201">
        <v>0</v>
      </c>
      <c r="G61" s="199">
        <v>0</v>
      </c>
      <c r="H61" s="202"/>
      <c r="I61" s="201">
        <v>0</v>
      </c>
      <c r="J61" s="201">
        <v>0</v>
      </c>
      <c r="K61" s="203">
        <v>0</v>
      </c>
    </row>
    <row r="62" spans="1:11" customFormat="1" ht="17.25" hidden="1" x14ac:dyDescent="0.35">
      <c r="A62" s="1"/>
      <c r="B62" s="43" t="s">
        <v>370</v>
      </c>
      <c r="C62" s="204">
        <v>2048630.27</v>
      </c>
      <c r="D62" s="204">
        <v>0</v>
      </c>
      <c r="E62" s="204">
        <v>0</v>
      </c>
      <c r="F62" s="204">
        <v>0</v>
      </c>
      <c r="G62" s="205">
        <v>2048630.27</v>
      </c>
      <c r="H62" s="206"/>
      <c r="I62" s="204">
        <v>0</v>
      </c>
      <c r="J62" s="204">
        <v>0</v>
      </c>
      <c r="K62" s="207">
        <v>2048630.27</v>
      </c>
    </row>
    <row r="63" spans="1:11" customFormat="1" ht="15.75" hidden="1" x14ac:dyDescent="0.25">
      <c r="A63" s="1"/>
      <c r="B63" s="44" t="s">
        <v>378</v>
      </c>
      <c r="C63" s="208">
        <v>52942506.780000009</v>
      </c>
      <c r="D63" s="208">
        <v>19538995.010000002</v>
      </c>
      <c r="E63" s="208">
        <v>11810677.619999999</v>
      </c>
      <c r="F63" s="208">
        <v>1003826</v>
      </c>
      <c r="G63" s="208">
        <v>85296005.409999996</v>
      </c>
      <c r="H63" s="208"/>
      <c r="I63" s="209">
        <v>12277453.01</v>
      </c>
      <c r="J63" s="209">
        <v>12277453.01</v>
      </c>
      <c r="K63" s="210">
        <v>97573458.420000002</v>
      </c>
    </row>
    <row r="64" spans="1:11" customFormat="1" ht="15.75" hidden="1" x14ac:dyDescent="0.25">
      <c r="A64" s="1"/>
      <c r="B64" s="43"/>
      <c r="C64" s="202"/>
      <c r="D64" s="202"/>
      <c r="E64" s="202"/>
      <c r="F64" s="202"/>
      <c r="G64" s="202"/>
      <c r="H64" s="202"/>
      <c r="I64" s="201"/>
      <c r="J64" s="209"/>
      <c r="K64" s="211"/>
    </row>
    <row r="65" spans="1:15" customFormat="1" ht="15.75" hidden="1" x14ac:dyDescent="0.25">
      <c r="A65" s="1"/>
      <c r="B65" s="182" t="s">
        <v>371</v>
      </c>
      <c r="C65" s="208"/>
      <c r="D65" s="208"/>
      <c r="E65" s="208"/>
      <c r="F65" s="208"/>
      <c r="G65" s="208"/>
      <c r="H65" s="208"/>
      <c r="I65" s="209"/>
      <c r="J65" s="209"/>
      <c r="K65" s="211"/>
    </row>
    <row r="66" spans="1:15" customFormat="1" ht="15" hidden="1" x14ac:dyDescent="0.2">
      <c r="A66" s="1"/>
      <c r="B66" s="43" t="s">
        <v>367</v>
      </c>
      <c r="C66" s="202">
        <v>30573532.010000002</v>
      </c>
      <c r="D66" s="202">
        <v>19538995.010000002</v>
      </c>
      <c r="E66" s="202">
        <v>11030301.07</v>
      </c>
      <c r="F66" s="202">
        <v>83652.25</v>
      </c>
      <c r="G66" s="199">
        <v>61226480.340000004</v>
      </c>
      <c r="H66" s="202">
        <v>11185623.23</v>
      </c>
      <c r="I66" s="201">
        <v>11453429.41</v>
      </c>
      <c r="J66" s="201">
        <v>11453429.41</v>
      </c>
      <c r="K66" s="203">
        <v>72679909.75</v>
      </c>
    </row>
    <row r="67" spans="1:15" customFormat="1" ht="15" hidden="1" x14ac:dyDescent="0.2">
      <c r="A67" s="1"/>
      <c r="B67" s="43" t="s">
        <v>372</v>
      </c>
      <c r="C67" s="202">
        <v>800420.24</v>
      </c>
      <c r="D67" s="202">
        <v>0</v>
      </c>
      <c r="E67" s="202">
        <v>124565.2</v>
      </c>
      <c r="F67" s="202">
        <v>16730.45</v>
      </c>
      <c r="G67" s="199">
        <v>941715.89</v>
      </c>
      <c r="H67" s="202"/>
      <c r="I67" s="201">
        <v>494851.3</v>
      </c>
      <c r="J67" s="201">
        <v>494851.3</v>
      </c>
      <c r="K67" s="203">
        <v>1436567.199</v>
      </c>
    </row>
    <row r="68" spans="1:15" customFormat="1" ht="15" hidden="1" x14ac:dyDescent="0.2">
      <c r="A68" s="1"/>
      <c r="B68" s="43" t="s">
        <v>370</v>
      </c>
      <c r="C68" s="202">
        <v>2048630.27</v>
      </c>
      <c r="D68" s="202">
        <v>0</v>
      </c>
      <c r="E68" s="202">
        <v>0</v>
      </c>
      <c r="F68" s="202"/>
      <c r="G68" s="199">
        <v>2048630.27</v>
      </c>
      <c r="H68" s="202"/>
      <c r="I68" s="201">
        <v>0</v>
      </c>
      <c r="J68" s="201">
        <v>0</v>
      </c>
      <c r="K68" s="203">
        <v>2048630.27</v>
      </c>
    </row>
    <row r="69" spans="1:15" customFormat="1" ht="17.25" hidden="1" x14ac:dyDescent="0.35">
      <c r="A69" s="1"/>
      <c r="B69" s="43" t="s">
        <v>373</v>
      </c>
      <c r="C69" s="206">
        <v>331621.5</v>
      </c>
      <c r="D69" s="206">
        <v>0</v>
      </c>
      <c r="E69" s="206">
        <v>0</v>
      </c>
      <c r="F69" s="206">
        <v>0</v>
      </c>
      <c r="G69" s="212">
        <v>331621.5</v>
      </c>
      <c r="H69" s="206"/>
      <c r="I69" s="204">
        <v>0</v>
      </c>
      <c r="J69" s="204">
        <v>0</v>
      </c>
      <c r="K69" s="207">
        <v>331621.5</v>
      </c>
    </row>
    <row r="70" spans="1:15" customFormat="1" ht="20.25" hidden="1" x14ac:dyDescent="0.55000000000000004">
      <c r="A70" s="1"/>
      <c r="B70" s="44" t="s">
        <v>377</v>
      </c>
      <c r="C70" s="213">
        <v>33754204.019999996</v>
      </c>
      <c r="D70" s="213">
        <v>19538995.010000002</v>
      </c>
      <c r="E70" s="213">
        <v>11154866.27</v>
      </c>
      <c r="F70" s="213">
        <v>100382.7</v>
      </c>
      <c r="G70" s="213">
        <v>64548448.000000007</v>
      </c>
      <c r="H70" s="213"/>
      <c r="I70" s="214">
        <v>11948280.710000001</v>
      </c>
      <c r="J70" s="214">
        <v>11948280.710000001</v>
      </c>
      <c r="K70" s="215">
        <v>76496728.718999997</v>
      </c>
    </row>
    <row r="71" spans="1:15" customFormat="1" ht="20.25" hidden="1" x14ac:dyDescent="0.55000000000000004">
      <c r="A71" s="1"/>
      <c r="B71" s="44"/>
      <c r="C71" s="213"/>
      <c r="D71" s="213"/>
      <c r="E71" s="213"/>
      <c r="F71" s="213"/>
      <c r="G71" s="213"/>
      <c r="H71" s="213"/>
      <c r="I71" s="201"/>
      <c r="J71" s="201"/>
      <c r="K71" s="203"/>
    </row>
    <row r="72" spans="1:15" customFormat="1" ht="18" hidden="1" x14ac:dyDescent="0.4">
      <c r="A72" s="1"/>
      <c r="B72" s="44" t="s">
        <v>374</v>
      </c>
      <c r="C72" s="216">
        <v>19188302.760000013</v>
      </c>
      <c r="D72" s="216">
        <v>0</v>
      </c>
      <c r="E72" s="216">
        <v>655811.34999999963</v>
      </c>
      <c r="F72" s="216">
        <v>903443.3</v>
      </c>
      <c r="G72" s="216">
        <v>20747557.409999989</v>
      </c>
      <c r="H72" s="216"/>
      <c r="I72" s="216">
        <v>329172.29999999888</v>
      </c>
      <c r="J72" s="216">
        <v>329172.29999999888</v>
      </c>
      <c r="K72" s="217">
        <v>21076729.701000005</v>
      </c>
    </row>
    <row r="73" spans="1:15" customFormat="1" ht="15.75" hidden="1" thickBot="1" x14ac:dyDescent="0.25">
      <c r="A73" s="1"/>
      <c r="B73" s="51"/>
      <c r="C73" s="218"/>
      <c r="D73" s="218"/>
      <c r="E73" s="218"/>
      <c r="F73" s="218"/>
      <c r="G73" s="218"/>
      <c r="H73" s="218"/>
      <c r="I73" s="219"/>
      <c r="J73" s="219"/>
      <c r="K73" s="220"/>
    </row>
    <row r="74" spans="1:15" customFormat="1" ht="15" hidden="1" x14ac:dyDescent="0.2">
      <c r="A74" s="1"/>
      <c r="B74" s="1"/>
      <c r="C74" s="221"/>
      <c r="D74" s="221"/>
      <c r="E74" s="221"/>
      <c r="F74" s="221"/>
      <c r="G74" s="221"/>
      <c r="H74" s="221"/>
      <c r="I74" s="221"/>
      <c r="J74" s="221"/>
      <c r="K74" s="221"/>
    </row>
    <row r="75" spans="1:15" customFormat="1" ht="15" hidden="1" x14ac:dyDescent="0.2">
      <c r="A75" s="1"/>
      <c r="B75" s="1"/>
      <c r="C75" s="1"/>
      <c r="D75" s="1"/>
      <c r="E75" s="1"/>
      <c r="F75" s="6"/>
      <c r="G75" s="1"/>
      <c r="H75" s="1"/>
      <c r="I75" s="1"/>
      <c r="J75" s="1"/>
      <c r="K75" s="1"/>
    </row>
    <row r="76" spans="1:15" ht="24.75" hidden="1" customHeight="1" x14ac:dyDescent="0.2"/>
    <row r="77" spans="1:15" ht="24.75" hidden="1" customHeight="1" x14ac:dyDescent="0.2"/>
    <row r="78" spans="1:15" ht="24.75" hidden="1" customHeight="1" x14ac:dyDescent="0.2"/>
    <row r="79" spans="1:15" customFormat="1" ht="16.5" thickBot="1" x14ac:dyDescent="0.3">
      <c r="A79" s="1"/>
      <c r="B79" s="134"/>
      <c r="C79" s="244"/>
      <c r="D79" s="244"/>
      <c r="E79" s="244"/>
      <c r="F79" s="244"/>
      <c r="G79" s="134"/>
      <c r="H79" s="134"/>
      <c r="I79" s="194"/>
      <c r="J79" s="6"/>
      <c r="K79" s="1"/>
    </row>
    <row r="80" spans="1:15" customFormat="1" ht="30.75" thickBot="1" x14ac:dyDescent="0.25">
      <c r="A80" s="1"/>
      <c r="B80" s="222" t="s">
        <v>376</v>
      </c>
      <c r="C80" s="223" t="s">
        <v>402</v>
      </c>
      <c r="D80" s="223" t="s">
        <v>366</v>
      </c>
      <c r="E80" s="223" t="s">
        <v>365</v>
      </c>
      <c r="F80" s="223" t="s">
        <v>408</v>
      </c>
      <c r="G80" s="223" t="s">
        <v>404</v>
      </c>
      <c r="H80" s="223"/>
      <c r="I80" s="223" t="s">
        <v>375</v>
      </c>
      <c r="J80" s="223" t="s">
        <v>406</v>
      </c>
      <c r="K80" s="224" t="s">
        <v>405</v>
      </c>
      <c r="N80" s="226"/>
      <c r="O80" s="226"/>
    </row>
    <row r="81" spans="1:18" customFormat="1" ht="15" x14ac:dyDescent="0.2">
      <c r="A81" s="1"/>
      <c r="B81" s="42" t="s">
        <v>367</v>
      </c>
      <c r="C81" s="198">
        <v>53239794.50999999</v>
      </c>
      <c r="D81" s="198">
        <v>25682855.010000002</v>
      </c>
      <c r="E81" s="198">
        <v>2317253.5</v>
      </c>
      <c r="F81" s="198">
        <v>1003826</v>
      </c>
      <c r="G81" s="199">
        <f>SUM(C81:F81)</f>
        <v>82243729.019999996</v>
      </c>
      <c r="H81" s="198"/>
      <c r="I81" s="199">
        <v>5881555.6499999994</v>
      </c>
      <c r="J81" s="199">
        <v>5881555.6499999994</v>
      </c>
      <c r="K81" s="200">
        <f>+G81+J81</f>
        <v>88125284.670000002</v>
      </c>
      <c r="N81" s="226"/>
      <c r="O81" s="226"/>
    </row>
    <row r="82" spans="1:18" customFormat="1" ht="15" x14ac:dyDescent="0.2">
      <c r="A82" s="1"/>
      <c r="B82" s="43" t="s">
        <v>368</v>
      </c>
      <c r="C82" s="201">
        <v>57832.98</v>
      </c>
      <c r="D82" s="201">
        <v>0</v>
      </c>
      <c r="E82" s="201">
        <v>0</v>
      </c>
      <c r="F82" s="201">
        <v>0</v>
      </c>
      <c r="G82" s="199">
        <f>SUM(C82:F82)</f>
        <v>57832.98</v>
      </c>
      <c r="H82" s="202"/>
      <c r="I82" s="201">
        <v>0</v>
      </c>
      <c r="J82" s="201">
        <v>0</v>
      </c>
      <c r="K82" s="200">
        <f>+G82+J82</f>
        <v>57832.98</v>
      </c>
      <c r="N82" s="226"/>
      <c r="O82" s="226"/>
    </row>
    <row r="83" spans="1:18" customFormat="1" ht="15" x14ac:dyDescent="0.2">
      <c r="A83" s="1"/>
      <c r="B83" s="43" t="s">
        <v>369</v>
      </c>
      <c r="C83" s="201">
        <v>0</v>
      </c>
      <c r="D83" s="201">
        <v>0</v>
      </c>
      <c r="E83" s="201">
        <v>0</v>
      </c>
      <c r="F83" s="201">
        <v>0</v>
      </c>
      <c r="G83" s="199">
        <f>SUM(C83:F83)</f>
        <v>0</v>
      </c>
      <c r="H83" s="202"/>
      <c r="I83" s="201"/>
      <c r="J83" s="199"/>
      <c r="K83" s="200">
        <f>+G83+J83</f>
        <v>0</v>
      </c>
    </row>
    <row r="84" spans="1:18" customFormat="1" ht="17.25" x14ac:dyDescent="0.35">
      <c r="A84" s="1"/>
      <c r="B84" s="43" t="s">
        <v>370</v>
      </c>
      <c r="C84" s="204">
        <v>0</v>
      </c>
      <c r="D84" s="204">
        <v>0</v>
      </c>
      <c r="E84" s="204">
        <v>0</v>
      </c>
      <c r="F84" s="204">
        <v>0</v>
      </c>
      <c r="G84" s="205">
        <f>SUM(C84:F84)</f>
        <v>0</v>
      </c>
      <c r="H84" s="206"/>
      <c r="I84" s="204">
        <v>0</v>
      </c>
      <c r="J84" s="204">
        <f>+I84</f>
        <v>0</v>
      </c>
      <c r="K84" s="225">
        <f>+G84+J84</f>
        <v>0</v>
      </c>
      <c r="N84" s="226"/>
    </row>
    <row r="85" spans="1:18" customFormat="1" ht="15.75" x14ac:dyDescent="0.25">
      <c r="A85" s="1"/>
      <c r="B85" s="44" t="s">
        <v>378</v>
      </c>
      <c r="C85" s="208">
        <f>+C81+C82-C83-C84</f>
        <v>53297627.489999987</v>
      </c>
      <c r="D85" s="208">
        <f>+D81+D82-D83-D84</f>
        <v>25682855.010000002</v>
      </c>
      <c r="E85" s="208">
        <f>+E81+E82-E83-E84</f>
        <v>2317253.5</v>
      </c>
      <c r="F85" s="208">
        <f>+F81+F82-F83-F84</f>
        <v>1003826</v>
      </c>
      <c r="G85" s="208">
        <f>+G81+G82-G83-G84</f>
        <v>82301562</v>
      </c>
      <c r="H85" s="208"/>
      <c r="I85" s="209">
        <f>+I81-I84</f>
        <v>5881555.6499999994</v>
      </c>
      <c r="J85" s="209">
        <f>+J81-J84</f>
        <v>5881555.6499999994</v>
      </c>
      <c r="K85" s="211">
        <f>+K81+K82-K83-K84</f>
        <v>88183117.650000006</v>
      </c>
      <c r="N85" s="226"/>
    </row>
    <row r="86" spans="1:18" customFormat="1" ht="15.75" x14ac:dyDescent="0.25">
      <c r="A86" s="1"/>
      <c r="B86" s="43"/>
      <c r="C86" s="202"/>
      <c r="D86" s="202"/>
      <c r="E86" s="202"/>
      <c r="F86" s="202"/>
      <c r="G86" s="202"/>
      <c r="H86" s="202"/>
      <c r="I86" s="201"/>
      <c r="J86" s="209"/>
      <c r="K86" s="211"/>
      <c r="N86" s="226"/>
    </row>
    <row r="87" spans="1:18" customFormat="1" ht="15.75" x14ac:dyDescent="0.25">
      <c r="A87" s="1"/>
      <c r="B87" s="182" t="s">
        <v>371</v>
      </c>
      <c r="C87" s="208"/>
      <c r="D87" s="208"/>
      <c r="E87" s="208"/>
      <c r="F87" s="208"/>
      <c r="G87" s="208"/>
      <c r="H87" s="208"/>
      <c r="I87" s="209"/>
      <c r="J87" s="209"/>
      <c r="K87" s="211"/>
    </row>
    <row r="88" spans="1:18" customFormat="1" ht="15" x14ac:dyDescent="0.2">
      <c r="A88" s="1"/>
      <c r="B88" s="43" t="s">
        <v>367</v>
      </c>
      <c r="C88" s="202">
        <v>31896226.520000003</v>
      </c>
      <c r="D88" s="202">
        <v>19846187.990000002</v>
      </c>
      <c r="E88" s="202">
        <v>1759735.8699999982</v>
      </c>
      <c r="F88" s="202">
        <v>250956.75000000009</v>
      </c>
      <c r="G88" s="199">
        <f>SUM(C88:F88)</f>
        <v>53753107.130000003</v>
      </c>
      <c r="H88" s="202"/>
      <c r="I88" s="201">
        <v>5872186.5199999996</v>
      </c>
      <c r="J88" s="201">
        <f>+I88</f>
        <v>5872186.5199999996</v>
      </c>
      <c r="K88" s="203">
        <f>+G88+J88</f>
        <v>59625293.650000006</v>
      </c>
    </row>
    <row r="89" spans="1:18" customFormat="1" ht="15" x14ac:dyDescent="0.2">
      <c r="A89" s="1"/>
      <c r="B89" s="43" t="s">
        <v>372</v>
      </c>
      <c r="C89" s="201">
        <v>545254.14</v>
      </c>
      <c r="D89" s="201">
        <v>102397.66</v>
      </c>
      <c r="E89" s="201">
        <v>18670.78</v>
      </c>
      <c r="F89" s="201">
        <v>16730.45</v>
      </c>
      <c r="G89" s="199">
        <f>SUM(C89:F89)</f>
        <v>683053.03</v>
      </c>
      <c r="H89" s="202"/>
      <c r="I89" s="201">
        <v>9369.1299999999992</v>
      </c>
      <c r="J89" s="201">
        <f>+I89</f>
        <v>9369.1299999999992</v>
      </c>
      <c r="K89" s="203">
        <f>+J89+G89</f>
        <v>692422.16</v>
      </c>
    </row>
    <row r="90" spans="1:18" customFormat="1" ht="15" x14ac:dyDescent="0.2">
      <c r="A90" s="1"/>
      <c r="B90" s="43" t="s">
        <v>370</v>
      </c>
      <c r="C90" s="202">
        <v>0</v>
      </c>
      <c r="D90" s="202">
        <v>0</v>
      </c>
      <c r="E90" s="202">
        <v>0</v>
      </c>
      <c r="F90" s="202">
        <v>0</v>
      </c>
      <c r="G90" s="199">
        <f>SUM(C90:F90)</f>
        <v>0</v>
      </c>
      <c r="H90" s="202"/>
      <c r="I90" s="201"/>
      <c r="J90" s="201">
        <v>0</v>
      </c>
      <c r="K90" s="203">
        <f>+J90+G90</f>
        <v>0</v>
      </c>
    </row>
    <row r="91" spans="1:18" customFormat="1" ht="17.25" x14ac:dyDescent="0.35">
      <c r="A91" s="1"/>
      <c r="B91" s="43" t="s">
        <v>373</v>
      </c>
      <c r="C91" s="206">
        <v>0</v>
      </c>
      <c r="D91" s="206">
        <v>0</v>
      </c>
      <c r="E91" s="206">
        <v>0</v>
      </c>
      <c r="F91" s="206">
        <v>0</v>
      </c>
      <c r="G91" s="205">
        <f>SUM(C91:F91)</f>
        <v>0</v>
      </c>
      <c r="H91" s="206"/>
      <c r="I91" s="204">
        <v>0</v>
      </c>
      <c r="J91" s="204">
        <v>0</v>
      </c>
      <c r="K91" s="207">
        <f>+J91+G91</f>
        <v>0</v>
      </c>
    </row>
    <row r="92" spans="1:18" customFormat="1" ht="20.25" x14ac:dyDescent="0.55000000000000004">
      <c r="A92" s="1"/>
      <c r="B92" s="44" t="s">
        <v>377</v>
      </c>
      <c r="C92" s="213">
        <f>+C88+C89-C90-C91</f>
        <v>32441480.660000004</v>
      </c>
      <c r="D92" s="213">
        <f>+D88+D89-D90-D91</f>
        <v>19948585.650000002</v>
      </c>
      <c r="E92" s="213">
        <f>+E88+E89-E90-E91</f>
        <v>1778406.6499999983</v>
      </c>
      <c r="F92" s="213">
        <f>+F88+F89-F90-F91</f>
        <v>267687.20000000007</v>
      </c>
      <c r="G92" s="213">
        <f>+G88+G89-G90-G91</f>
        <v>54436160.160000004</v>
      </c>
      <c r="H92" s="213"/>
      <c r="I92" s="214">
        <f>+I88-I90+I89</f>
        <v>5881555.6499999994</v>
      </c>
      <c r="J92" s="214">
        <f>+J88-J90+J89</f>
        <v>5881555.6499999994</v>
      </c>
      <c r="K92" s="265">
        <f>+K88+K89-K90-K91</f>
        <v>60317715.810000002</v>
      </c>
    </row>
    <row r="93" spans="1:18" customFormat="1" ht="20.25" x14ac:dyDescent="0.55000000000000004">
      <c r="A93" s="1"/>
      <c r="B93" s="44"/>
      <c r="C93" s="213"/>
      <c r="D93" s="213"/>
      <c r="E93" s="213"/>
      <c r="F93" s="213"/>
      <c r="G93" s="213"/>
      <c r="H93" s="213"/>
      <c r="I93" s="201"/>
      <c r="J93" s="201"/>
      <c r="K93" s="203"/>
      <c r="N93" s="226"/>
      <c r="O93" s="226"/>
      <c r="P93" s="226"/>
      <c r="Q93" s="226"/>
      <c r="R93" s="227"/>
    </row>
    <row r="94" spans="1:18" customFormat="1" ht="18" x14ac:dyDescent="0.4">
      <c r="A94" s="1"/>
      <c r="B94" s="44" t="s">
        <v>374</v>
      </c>
      <c r="C94" s="216">
        <f>+C85-C92</f>
        <v>20856146.829999983</v>
      </c>
      <c r="D94" s="216">
        <f>+D85-D92</f>
        <v>5734269.3599999994</v>
      </c>
      <c r="E94" s="216">
        <f>+E85-E92</f>
        <v>538846.85000000172</v>
      </c>
      <c r="F94" s="216">
        <f>+F85-F92</f>
        <v>736138.79999999993</v>
      </c>
      <c r="G94" s="216">
        <f>+G85-G92</f>
        <v>27865401.839999996</v>
      </c>
      <c r="H94" s="216"/>
      <c r="I94" s="216">
        <f>+I85-I92</f>
        <v>0</v>
      </c>
      <c r="J94" s="216">
        <f>+J85-J92</f>
        <v>0</v>
      </c>
      <c r="K94" s="217">
        <f>+K85-K92</f>
        <v>27865401.840000004</v>
      </c>
      <c r="N94" s="226"/>
      <c r="O94" s="226"/>
      <c r="P94" s="226"/>
      <c r="Q94" s="226"/>
      <c r="R94" s="227"/>
    </row>
    <row r="95" spans="1:18" customFormat="1" ht="15.75" thickBot="1" x14ac:dyDescent="0.25">
      <c r="A95" s="1"/>
      <c r="B95" s="51"/>
      <c r="C95" s="218"/>
      <c r="D95" s="218"/>
      <c r="E95" s="218"/>
      <c r="F95" s="218"/>
      <c r="G95" s="218"/>
      <c r="H95" s="218"/>
      <c r="I95" s="219"/>
      <c r="J95" s="219"/>
      <c r="K95" s="220"/>
      <c r="N95" s="226"/>
      <c r="O95" s="226"/>
      <c r="P95" s="226"/>
      <c r="Q95" s="226"/>
      <c r="R95" s="226"/>
    </row>
    <row r="96" spans="1:18" customFormat="1" ht="15" x14ac:dyDescent="0.2">
      <c r="A96" s="1"/>
      <c r="B96" s="1"/>
      <c r="C96" s="221"/>
      <c r="D96" s="221"/>
      <c r="E96" s="221"/>
      <c r="F96" s="221"/>
      <c r="G96" s="221"/>
      <c r="H96" s="221"/>
      <c r="I96" s="221"/>
      <c r="J96" s="221"/>
      <c r="K96" s="221"/>
      <c r="N96" s="226"/>
      <c r="O96" s="226"/>
      <c r="P96" s="226"/>
      <c r="Q96" s="226"/>
    </row>
    <row r="97" spans="2:17" ht="24.75" customHeight="1" x14ac:dyDescent="0.2">
      <c r="B97" s="6"/>
      <c r="C97" s="6"/>
      <c r="D97" s="6"/>
      <c r="E97" s="2"/>
      <c r="F97" s="2"/>
      <c r="G97" s="2"/>
      <c r="I97" s="6"/>
      <c r="J97" s="6"/>
      <c r="K97" s="221">
        <f>27865401.84-K94</f>
        <v>0</v>
      </c>
      <c r="N97" s="11"/>
      <c r="O97" s="11"/>
      <c r="P97" s="11"/>
      <c r="Q97" s="11"/>
    </row>
    <row r="98" spans="2:17" ht="24.75" customHeight="1" x14ac:dyDescent="0.3">
      <c r="B98" s="243"/>
      <c r="D98" s="6"/>
      <c r="E98" s="2"/>
      <c r="F98" s="2"/>
      <c r="G98" s="2"/>
      <c r="I98" s="6"/>
      <c r="J98" s="6"/>
      <c r="K98" s="221"/>
      <c r="Q98" s="6"/>
    </row>
    <row r="99" spans="2:17" ht="24.75" customHeight="1" x14ac:dyDescent="0.2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7" ht="24.75" customHeight="1" x14ac:dyDescent="0.2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7" ht="24.75" customHeight="1" x14ac:dyDescent="0.2">
      <c r="C101" s="2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7" ht="24.75" customHeight="1" x14ac:dyDescent="0.2">
      <c r="C102" s="2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7" ht="24.75" customHeight="1" x14ac:dyDescent="0.2">
      <c r="C103" s="2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7" ht="24.75" customHeight="1" x14ac:dyDescent="0.2">
      <c r="C104" s="2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7" ht="24.75" customHeight="1" x14ac:dyDescent="0.2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7" ht="24.75" customHeight="1" x14ac:dyDescent="0.2">
      <c r="B106" s="2"/>
      <c r="C106" s="2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7" ht="24.75" customHeight="1" x14ac:dyDescent="0.2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7" ht="24.75" customHeight="1" x14ac:dyDescent="0.2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7" ht="24.75" customHeight="1" x14ac:dyDescent="0.2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7" ht="24.75" customHeight="1" x14ac:dyDescent="0.2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7" ht="24.75" customHeight="1" x14ac:dyDescent="0.2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</sheetData>
  <mergeCells count="15">
    <mergeCell ref="B53:K53"/>
    <mergeCell ref="B54:K54"/>
    <mergeCell ref="B55:K55"/>
    <mergeCell ref="B56:K56"/>
    <mergeCell ref="B28:K28"/>
    <mergeCell ref="B29:K29"/>
    <mergeCell ref="B30:K30"/>
    <mergeCell ref="B31:K31"/>
    <mergeCell ref="B32:K32"/>
    <mergeCell ref="B52:K52"/>
    <mergeCell ref="B3:K3"/>
    <mergeCell ref="B4:K4"/>
    <mergeCell ref="B5:K5"/>
    <mergeCell ref="B6:K6"/>
    <mergeCell ref="B7:K7"/>
  </mergeCells>
  <pageMargins left="0.19685039370078741" right="0.19685039370078741" top="0.74803149606299213" bottom="0.74803149606299213" header="0.31496062992125984" footer="0.31496062992125984"/>
  <pageSetup scale="5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view="pageBreakPreview" topLeftCell="A78" zoomScale="90" zoomScaleNormal="100" zoomScaleSheetLayoutView="90" workbookViewId="0">
      <selection activeCell="A68" sqref="A68:B93"/>
    </sheetView>
  </sheetViews>
  <sheetFormatPr baseColWidth="10" defaultColWidth="9.140625" defaultRowHeight="24.75" customHeight="1" x14ac:dyDescent="0.2"/>
  <cols>
    <col min="1" max="1" width="68.28515625" style="1" customWidth="1"/>
    <col min="2" max="2" width="25.28515625" style="1" customWidth="1"/>
    <col min="3" max="3" width="31" style="1" customWidth="1"/>
    <col min="4" max="4" width="23.85546875" style="1" customWidth="1"/>
    <col min="5" max="5" width="17.42578125" style="1" bestFit="1" customWidth="1"/>
    <col min="6" max="6" width="16.85546875" style="1" customWidth="1"/>
    <col min="7" max="7" width="12.42578125" style="1" customWidth="1"/>
    <col min="8" max="16384" width="9.140625" style="1"/>
  </cols>
  <sheetData>
    <row r="1" spans="1:6" ht="24.75" customHeight="1" x14ac:dyDescent="0.2">
      <c r="B1" s="2"/>
      <c r="C1" s="2"/>
      <c r="D1" s="2"/>
    </row>
    <row r="2" spans="1:6" ht="24.75" customHeight="1" x14ac:dyDescent="0.25">
      <c r="A2" s="10"/>
      <c r="B2" s="10"/>
      <c r="C2" s="10"/>
      <c r="D2" s="10"/>
    </row>
    <row r="3" spans="1:6" ht="24.75" customHeight="1" x14ac:dyDescent="0.25">
      <c r="A3" s="471" t="s">
        <v>295</v>
      </c>
      <c r="B3" s="471"/>
      <c r="C3" s="10"/>
      <c r="D3" s="10"/>
    </row>
    <row r="4" spans="1:6" ht="24.75" customHeight="1" x14ac:dyDescent="0.25">
      <c r="A4" s="471" t="s">
        <v>208</v>
      </c>
      <c r="B4" s="471"/>
      <c r="C4" s="10"/>
      <c r="D4" s="10"/>
    </row>
    <row r="5" spans="1:6" ht="24.75" customHeight="1" x14ac:dyDescent="0.25">
      <c r="A5" s="471" t="s">
        <v>193</v>
      </c>
      <c r="B5" s="471"/>
      <c r="C5" s="10"/>
      <c r="D5" s="10"/>
    </row>
    <row r="6" spans="1:6" ht="24.75" customHeight="1" x14ac:dyDescent="0.25">
      <c r="A6" s="472">
        <v>45291</v>
      </c>
      <c r="B6" s="472"/>
      <c r="C6" s="45"/>
      <c r="D6" s="59"/>
      <c r="E6" s="142"/>
      <c r="F6" s="143"/>
    </row>
    <row r="7" spans="1:6" ht="24.75" customHeight="1" thickBot="1" x14ac:dyDescent="0.3">
      <c r="A7" s="46"/>
      <c r="B7" s="403"/>
      <c r="C7" s="144"/>
      <c r="D7" s="59"/>
      <c r="E7" s="142"/>
      <c r="F7" s="18"/>
    </row>
    <row r="8" spans="1:6" ht="24.75" customHeight="1" thickBot="1" x14ac:dyDescent="0.3">
      <c r="A8" s="30" t="s">
        <v>221</v>
      </c>
      <c r="B8" s="31" t="s">
        <v>194</v>
      </c>
      <c r="C8" s="409"/>
      <c r="D8" s="59"/>
      <c r="E8" s="142"/>
      <c r="F8" s="18"/>
    </row>
    <row r="9" spans="1:6" ht="24.75" customHeight="1" x14ac:dyDescent="0.2">
      <c r="A9" s="148" t="s">
        <v>119</v>
      </c>
      <c r="B9" s="442">
        <v>1111783.58</v>
      </c>
      <c r="C9" s="409"/>
      <c r="D9" s="86"/>
      <c r="E9" s="142"/>
      <c r="F9" s="143"/>
    </row>
    <row r="10" spans="1:6" ht="24.75" customHeight="1" x14ac:dyDescent="0.2">
      <c r="A10" s="146" t="s">
        <v>183</v>
      </c>
      <c r="B10" s="443">
        <v>335472.53000000003</v>
      </c>
      <c r="C10" s="409"/>
      <c r="D10" s="193"/>
      <c r="E10" s="142"/>
      <c r="F10" s="18"/>
    </row>
    <row r="11" spans="1:6" ht="24.75" customHeight="1" x14ac:dyDescent="0.2">
      <c r="A11" s="146" t="s">
        <v>65</v>
      </c>
      <c r="B11" s="443">
        <v>113356.92</v>
      </c>
      <c r="C11" s="409"/>
      <c r="D11" s="59"/>
      <c r="E11" s="142"/>
      <c r="F11" s="143"/>
    </row>
    <row r="12" spans="1:6" ht="24.75" customHeight="1" x14ac:dyDescent="0.2">
      <c r="A12" s="445" t="s">
        <v>941</v>
      </c>
      <c r="B12" s="443">
        <v>44553.22</v>
      </c>
      <c r="C12" s="409"/>
      <c r="D12" s="59"/>
      <c r="E12" s="142"/>
      <c r="F12" s="18"/>
    </row>
    <row r="13" spans="1:6" ht="24.75" customHeight="1" x14ac:dyDescent="0.2">
      <c r="A13" s="146" t="s">
        <v>914</v>
      </c>
      <c r="B13" s="443">
        <v>8151437.5999999996</v>
      </c>
      <c r="C13" s="409"/>
      <c r="D13" s="59"/>
      <c r="E13" s="142"/>
      <c r="F13" s="18"/>
    </row>
    <row r="14" spans="1:6" ht="24.75" customHeight="1" x14ac:dyDescent="0.2">
      <c r="A14" s="146" t="s">
        <v>256</v>
      </c>
      <c r="B14" s="443">
        <v>692040</v>
      </c>
      <c r="C14" s="409"/>
      <c r="D14" s="59"/>
      <c r="E14" s="142"/>
      <c r="F14" s="143"/>
    </row>
    <row r="15" spans="1:6" ht="30" customHeight="1" x14ac:dyDescent="0.35">
      <c r="A15" s="386" t="s">
        <v>407</v>
      </c>
      <c r="B15" s="444">
        <v>769625.34</v>
      </c>
      <c r="C15" s="409"/>
      <c r="D15" s="360"/>
    </row>
    <row r="16" spans="1:6" ht="24.75" customHeight="1" x14ac:dyDescent="0.4">
      <c r="A16" s="147" t="s">
        <v>121</v>
      </c>
      <c r="B16" s="359">
        <f>SUM(B9:B15)</f>
        <v>11218269.189999999</v>
      </c>
      <c r="C16" s="409"/>
      <c r="D16" s="2"/>
      <c r="F16" s="6"/>
    </row>
    <row r="17" spans="1:4" ht="24.75" customHeight="1" thickBot="1" x14ac:dyDescent="0.25">
      <c r="A17" s="51"/>
      <c r="B17" s="133"/>
      <c r="C17" s="409"/>
      <c r="D17" s="2"/>
    </row>
    <row r="18" spans="1:4" ht="24.75" customHeight="1" x14ac:dyDescent="0.2">
      <c r="B18" s="4"/>
      <c r="D18" s="2"/>
    </row>
    <row r="19" spans="1:4" ht="24.75" customHeight="1" x14ac:dyDescent="0.2">
      <c r="B19" s="4"/>
      <c r="D19" s="2"/>
    </row>
    <row r="20" spans="1:4" ht="24.75" customHeight="1" x14ac:dyDescent="0.2">
      <c r="B20" s="4"/>
      <c r="D20" s="2"/>
    </row>
    <row r="21" spans="1:4" ht="24.75" customHeight="1" x14ac:dyDescent="0.2">
      <c r="B21" s="4"/>
      <c r="D21" s="2"/>
    </row>
    <row r="22" spans="1:4" ht="24.75" customHeight="1" x14ac:dyDescent="0.2">
      <c r="B22" s="4"/>
      <c r="D22" s="2"/>
    </row>
    <row r="23" spans="1:4" ht="24.75" customHeight="1" x14ac:dyDescent="0.2">
      <c r="B23" s="4"/>
      <c r="D23" s="2"/>
    </row>
    <row r="24" spans="1:4" ht="24.75" customHeight="1" x14ac:dyDescent="0.2">
      <c r="B24" s="4"/>
      <c r="D24" s="2"/>
    </row>
    <row r="25" spans="1:4" ht="24.75" customHeight="1" x14ac:dyDescent="0.2">
      <c r="B25" s="4"/>
      <c r="D25" s="2"/>
    </row>
    <row r="26" spans="1:4" ht="24.75" customHeight="1" x14ac:dyDescent="0.2">
      <c r="B26" s="4"/>
      <c r="D26" s="2"/>
    </row>
    <row r="27" spans="1:4" ht="24.75" customHeight="1" x14ac:dyDescent="0.2">
      <c r="B27" s="4"/>
      <c r="D27" s="2"/>
    </row>
    <row r="28" spans="1:4" ht="24.75" customHeight="1" x14ac:dyDescent="0.2">
      <c r="B28" s="4"/>
      <c r="D28" s="2"/>
    </row>
    <row r="29" spans="1:4" ht="24.75" customHeight="1" x14ac:dyDescent="0.2">
      <c r="B29" s="4"/>
      <c r="D29" s="2"/>
    </row>
    <row r="30" spans="1:4" ht="24.75" customHeight="1" x14ac:dyDescent="0.2">
      <c r="B30" s="4"/>
      <c r="D30" s="2"/>
    </row>
    <row r="31" spans="1:4" ht="24.75" customHeight="1" x14ac:dyDescent="0.2">
      <c r="B31" s="4"/>
      <c r="D31" s="2"/>
    </row>
    <row r="32" spans="1:4" ht="24.75" customHeight="1" x14ac:dyDescent="0.2">
      <c r="B32" s="4"/>
      <c r="D32" s="2"/>
    </row>
    <row r="33" spans="1:7" ht="24.75" customHeight="1" x14ac:dyDescent="0.2">
      <c r="B33" s="4"/>
      <c r="D33" s="2"/>
    </row>
    <row r="34" spans="1:7" ht="24.75" customHeight="1" x14ac:dyDescent="0.2">
      <c r="B34" s="2"/>
    </row>
    <row r="35" spans="1:7" ht="24.75" customHeight="1" x14ac:dyDescent="0.25">
      <c r="A35" s="471" t="s">
        <v>295</v>
      </c>
      <c r="B35" s="471"/>
    </row>
    <row r="36" spans="1:7" ht="24.75" customHeight="1" x14ac:dyDescent="0.25">
      <c r="A36" s="471" t="s">
        <v>208</v>
      </c>
      <c r="B36" s="471"/>
    </row>
    <row r="37" spans="1:7" ht="24.75" customHeight="1" x14ac:dyDescent="0.25">
      <c r="A37" s="471" t="s">
        <v>119</v>
      </c>
      <c r="B37" s="471"/>
      <c r="D37" s="145"/>
      <c r="G37" s="2"/>
    </row>
    <row r="38" spans="1:7" ht="24.75" customHeight="1" x14ac:dyDescent="0.25">
      <c r="A38" s="472">
        <v>45291</v>
      </c>
      <c r="B38" s="472"/>
      <c r="G38" s="7"/>
    </row>
    <row r="39" spans="1:7" ht="24.75" customHeight="1" thickBot="1" x14ac:dyDescent="0.25">
      <c r="G39" s="7"/>
    </row>
    <row r="40" spans="1:7" ht="24.75" customHeight="1" thickBot="1" x14ac:dyDescent="0.3">
      <c r="A40" s="30" t="s">
        <v>221</v>
      </c>
      <c r="B40" s="31" t="s">
        <v>194</v>
      </c>
      <c r="G40" s="7"/>
    </row>
    <row r="41" spans="1:7" ht="24.75" customHeight="1" x14ac:dyDescent="0.2">
      <c r="A41" s="148" t="s">
        <v>915</v>
      </c>
      <c r="B41" s="446">
        <v>164078.35999999999</v>
      </c>
    </row>
    <row r="42" spans="1:7" ht="24.75" customHeight="1" x14ac:dyDescent="0.2">
      <c r="A42" s="146" t="s">
        <v>916</v>
      </c>
      <c r="B42" s="311">
        <v>60803.040000000001</v>
      </c>
    </row>
    <row r="43" spans="1:7" ht="24.75" customHeight="1" x14ac:dyDescent="0.2">
      <c r="A43" s="146" t="s">
        <v>329</v>
      </c>
      <c r="B43" s="311">
        <v>707930.08</v>
      </c>
    </row>
    <row r="44" spans="1:7" ht="24.75" customHeight="1" x14ac:dyDescent="0.2">
      <c r="A44" s="146" t="s">
        <v>879</v>
      </c>
      <c r="B44" s="311">
        <v>-44.84</v>
      </c>
    </row>
    <row r="45" spans="1:7" ht="24.75" customHeight="1" x14ac:dyDescent="0.2">
      <c r="A45" s="447" t="s">
        <v>917</v>
      </c>
      <c r="B45" s="311">
        <v>30626.9</v>
      </c>
    </row>
    <row r="46" spans="1:7" ht="24.75" customHeight="1" x14ac:dyDescent="0.2">
      <c r="A46" s="146" t="s">
        <v>880</v>
      </c>
      <c r="B46" s="311">
        <v>65790.039999999994</v>
      </c>
    </row>
    <row r="47" spans="1:7" ht="24.75" customHeight="1" x14ac:dyDescent="0.2">
      <c r="A47" s="146" t="s">
        <v>918</v>
      </c>
      <c r="B47" s="311">
        <v>82600</v>
      </c>
    </row>
    <row r="48" spans="1:7" ht="24.75" customHeight="1" x14ac:dyDescent="0.4">
      <c r="A48" s="44" t="s">
        <v>206</v>
      </c>
      <c r="B48" s="41">
        <f>SUM(B41:B47)</f>
        <v>1111783.58</v>
      </c>
    </row>
    <row r="49" spans="1:4" ht="24.75" customHeight="1" thickBot="1" x14ac:dyDescent="0.25">
      <c r="A49" s="51"/>
      <c r="B49" s="133"/>
      <c r="D49" s="2"/>
    </row>
    <row r="50" spans="1:4" ht="24.75" customHeight="1" x14ac:dyDescent="0.2">
      <c r="B50" s="4"/>
      <c r="D50" s="2"/>
    </row>
    <row r="51" spans="1:4" ht="24.75" customHeight="1" x14ac:dyDescent="0.2">
      <c r="B51" s="2">
        <f>+B9-B48</f>
        <v>0</v>
      </c>
    </row>
    <row r="52" spans="1:4" ht="24.75" customHeight="1" x14ac:dyDescent="0.2">
      <c r="B52" s="2"/>
    </row>
    <row r="53" spans="1:4" ht="24.75" customHeight="1" x14ac:dyDescent="0.25">
      <c r="A53" s="471" t="s">
        <v>295</v>
      </c>
      <c r="B53" s="471"/>
    </row>
    <row r="54" spans="1:4" ht="24.75" customHeight="1" x14ac:dyDescent="0.25">
      <c r="A54" s="471" t="s">
        <v>208</v>
      </c>
      <c r="B54" s="471"/>
    </row>
    <row r="55" spans="1:4" ht="24.75" customHeight="1" x14ac:dyDescent="0.25">
      <c r="A55" s="471" t="s">
        <v>409</v>
      </c>
      <c r="B55" s="471"/>
    </row>
    <row r="56" spans="1:4" ht="24.75" customHeight="1" x14ac:dyDescent="0.25">
      <c r="A56" s="472">
        <v>45291</v>
      </c>
      <c r="B56" s="472"/>
    </row>
    <row r="57" spans="1:4" ht="24.75" customHeight="1" thickBot="1" x14ac:dyDescent="0.25">
      <c r="B57" s="2"/>
    </row>
    <row r="58" spans="1:4" ht="24.75" customHeight="1" thickBot="1" x14ac:dyDescent="0.3">
      <c r="A58" s="30" t="s">
        <v>221</v>
      </c>
      <c r="B58" s="31" t="s">
        <v>194</v>
      </c>
    </row>
    <row r="59" spans="1:4" ht="24.75" customHeight="1" x14ac:dyDescent="0.25">
      <c r="A59" s="43" t="s">
        <v>712</v>
      </c>
      <c r="B59" s="385">
        <v>335472.53000000003</v>
      </c>
      <c r="D59" s="59"/>
    </row>
    <row r="60" spans="1:4" ht="24.75" customHeight="1" x14ac:dyDescent="0.25">
      <c r="A60" s="44" t="s">
        <v>206</v>
      </c>
      <c r="B60" s="149">
        <f>SUM(B59:B59)</f>
        <v>335472.53000000003</v>
      </c>
    </row>
    <row r="61" spans="1:4" ht="25.5" customHeight="1" thickBot="1" x14ac:dyDescent="0.25">
      <c r="A61" s="51"/>
      <c r="B61" s="53"/>
      <c r="C61" s="7"/>
    </row>
    <row r="62" spans="1:4" ht="24.75" customHeight="1" x14ac:dyDescent="0.2">
      <c r="B62" s="4"/>
      <c r="D62" s="2"/>
    </row>
    <row r="63" spans="1:4" ht="24.75" customHeight="1" x14ac:dyDescent="0.2">
      <c r="B63" s="4">
        <f>+B10-B60</f>
        <v>0</v>
      </c>
      <c r="D63" s="2"/>
    </row>
    <row r="64" spans="1:4" ht="24.75" customHeight="1" x14ac:dyDescent="0.2">
      <c r="B64" s="4"/>
      <c r="D64" s="2"/>
    </row>
    <row r="65" spans="1:4" ht="24.75" customHeight="1" x14ac:dyDescent="0.2">
      <c r="B65" s="4"/>
      <c r="D65" s="2"/>
    </row>
    <row r="66" spans="1:4" ht="24.75" customHeight="1" x14ac:dyDescent="0.2">
      <c r="B66" s="4"/>
      <c r="D66" s="2"/>
    </row>
    <row r="67" spans="1:4" ht="24.75" customHeight="1" x14ac:dyDescent="0.2">
      <c r="B67" s="4"/>
      <c r="D67" s="2"/>
    </row>
    <row r="68" spans="1:4" ht="24.75" customHeight="1" x14ac:dyDescent="0.2">
      <c r="B68" s="361"/>
      <c r="D68" s="2"/>
    </row>
    <row r="69" spans="1:4" ht="24.75" customHeight="1" x14ac:dyDescent="0.25">
      <c r="A69" s="471" t="s">
        <v>295</v>
      </c>
      <c r="B69" s="471"/>
    </row>
    <row r="70" spans="1:4" ht="24.75" customHeight="1" x14ac:dyDescent="0.25">
      <c r="A70" s="471" t="s">
        <v>208</v>
      </c>
      <c r="B70" s="471"/>
    </row>
    <row r="71" spans="1:4" ht="24.75" customHeight="1" x14ac:dyDescent="0.25">
      <c r="A71" s="471" t="s">
        <v>958</v>
      </c>
      <c r="B71" s="471"/>
    </row>
    <row r="72" spans="1:4" ht="24.75" customHeight="1" x14ac:dyDescent="0.25">
      <c r="A72" s="472">
        <v>45291</v>
      </c>
      <c r="B72" s="472"/>
    </row>
    <row r="73" spans="1:4" ht="24.75" customHeight="1" thickBot="1" x14ac:dyDescent="0.3">
      <c r="B73" s="404"/>
    </row>
    <row r="74" spans="1:4" ht="24.75" customHeight="1" thickBot="1" x14ac:dyDescent="0.3">
      <c r="A74" s="30" t="s">
        <v>221</v>
      </c>
      <c r="B74" s="31" t="s">
        <v>194</v>
      </c>
    </row>
    <row r="75" spans="1:4" ht="24.75" customHeight="1" x14ac:dyDescent="0.3">
      <c r="A75" s="448" t="s">
        <v>881</v>
      </c>
      <c r="B75" s="449">
        <v>4153.22</v>
      </c>
    </row>
    <row r="76" spans="1:4" ht="24.75" customHeight="1" x14ac:dyDescent="0.3">
      <c r="A76" s="450" t="s">
        <v>919</v>
      </c>
      <c r="B76" s="451">
        <v>1700</v>
      </c>
    </row>
    <row r="77" spans="1:4" ht="24.75" customHeight="1" x14ac:dyDescent="0.3">
      <c r="A77" s="450" t="s">
        <v>920</v>
      </c>
      <c r="B77" s="451">
        <v>2450</v>
      </c>
    </row>
    <row r="78" spans="1:4" ht="24.75" customHeight="1" x14ac:dyDescent="0.3">
      <c r="A78" s="450" t="s">
        <v>921</v>
      </c>
      <c r="B78" s="451">
        <v>2150</v>
      </c>
    </row>
    <row r="79" spans="1:4" ht="24.75" customHeight="1" x14ac:dyDescent="0.3">
      <c r="A79" s="450" t="s">
        <v>680</v>
      </c>
      <c r="B79" s="451">
        <v>1900</v>
      </c>
    </row>
    <row r="80" spans="1:4" ht="24.75" customHeight="1" x14ac:dyDescent="0.3">
      <c r="A80" s="450" t="s">
        <v>882</v>
      </c>
      <c r="B80" s="451">
        <v>1700</v>
      </c>
      <c r="D80" s="405"/>
    </row>
    <row r="81" spans="1:2" ht="24.75" customHeight="1" x14ac:dyDescent="0.3">
      <c r="A81" s="450" t="s">
        <v>920</v>
      </c>
      <c r="B81" s="451">
        <v>2450</v>
      </c>
    </row>
    <row r="82" spans="1:2" ht="24.75" customHeight="1" x14ac:dyDescent="0.3">
      <c r="A82" s="450" t="s">
        <v>922</v>
      </c>
      <c r="B82" s="451">
        <v>2450</v>
      </c>
    </row>
    <row r="83" spans="1:2" ht="24.75" customHeight="1" x14ac:dyDescent="0.3">
      <c r="A83" s="450" t="s">
        <v>882</v>
      </c>
      <c r="B83" s="451">
        <v>1700</v>
      </c>
    </row>
    <row r="84" spans="1:2" ht="24.75" customHeight="1" x14ac:dyDescent="0.3">
      <c r="A84" s="450" t="s">
        <v>854</v>
      </c>
      <c r="B84" s="451">
        <v>2450</v>
      </c>
    </row>
    <row r="85" spans="1:2" ht="24.75" customHeight="1" x14ac:dyDescent="0.3">
      <c r="A85" s="450" t="s">
        <v>660</v>
      </c>
      <c r="B85" s="451">
        <v>1350</v>
      </c>
    </row>
    <row r="86" spans="1:2" ht="24.75" customHeight="1" x14ac:dyDescent="0.3">
      <c r="A86" s="450" t="s">
        <v>604</v>
      </c>
      <c r="B86" s="451">
        <v>1350</v>
      </c>
    </row>
    <row r="87" spans="1:2" ht="24.75" customHeight="1" x14ac:dyDescent="0.3">
      <c r="A87" s="450" t="s">
        <v>596</v>
      </c>
      <c r="B87" s="451">
        <v>1100</v>
      </c>
    </row>
    <row r="88" spans="1:2" ht="24.75" customHeight="1" x14ac:dyDescent="0.3">
      <c r="A88" s="450" t="s">
        <v>881</v>
      </c>
      <c r="B88" s="451">
        <v>2200</v>
      </c>
    </row>
    <row r="89" spans="1:2" ht="24.75" customHeight="1" x14ac:dyDescent="0.3">
      <c r="A89" s="450" t="s">
        <v>923</v>
      </c>
      <c r="B89" s="451">
        <v>1350</v>
      </c>
    </row>
    <row r="90" spans="1:2" ht="24.75" customHeight="1" x14ac:dyDescent="0.3">
      <c r="A90" s="450" t="s">
        <v>881</v>
      </c>
      <c r="B90" s="451">
        <v>8500</v>
      </c>
    </row>
    <row r="91" spans="1:2" ht="24.75" customHeight="1" x14ac:dyDescent="0.3">
      <c r="A91" s="450" t="s">
        <v>919</v>
      </c>
      <c r="B91" s="451">
        <v>5600</v>
      </c>
    </row>
    <row r="92" spans="1:2" ht="24.75" customHeight="1" thickBot="1" x14ac:dyDescent="0.3">
      <c r="A92" s="417" t="s">
        <v>207</v>
      </c>
      <c r="B92" s="363">
        <f>SUM(B75:B91)</f>
        <v>44553.22</v>
      </c>
    </row>
    <row r="94" spans="1:2" ht="24.75" customHeight="1" x14ac:dyDescent="0.2">
      <c r="B94" s="2">
        <f>+B12-B92</f>
        <v>0</v>
      </c>
    </row>
    <row r="96" spans="1:2" ht="24.75" customHeight="1" x14ac:dyDescent="0.2">
      <c r="B96" s="86"/>
    </row>
    <row r="97" spans="1:2" ht="24.75" customHeight="1" x14ac:dyDescent="0.2">
      <c r="B97" s="86"/>
    </row>
    <row r="98" spans="1:2" ht="24.75" customHeight="1" x14ac:dyDescent="0.2">
      <c r="B98" s="86"/>
    </row>
    <row r="99" spans="1:2" ht="20.25" customHeight="1" x14ac:dyDescent="0.25">
      <c r="A99" s="471" t="s">
        <v>295</v>
      </c>
      <c r="B99" s="471"/>
    </row>
    <row r="100" spans="1:2" ht="20.25" customHeight="1" x14ac:dyDescent="0.25">
      <c r="A100" s="471" t="s">
        <v>208</v>
      </c>
      <c r="B100" s="471"/>
    </row>
    <row r="101" spans="1:2" ht="20.25" customHeight="1" x14ac:dyDescent="0.25">
      <c r="A101" s="471" t="s">
        <v>914</v>
      </c>
      <c r="B101" s="471"/>
    </row>
    <row r="102" spans="1:2" ht="20.25" customHeight="1" x14ac:dyDescent="0.25">
      <c r="A102" s="472">
        <v>45291</v>
      </c>
      <c r="B102" s="472"/>
    </row>
    <row r="103" spans="1:2" ht="24.75" customHeight="1" thickBot="1" x14ac:dyDescent="0.3">
      <c r="A103" s="46"/>
      <c r="B103" s="9"/>
    </row>
    <row r="104" spans="1:2" ht="24.75" customHeight="1" thickBot="1" x14ac:dyDescent="0.3">
      <c r="A104" s="30" t="s">
        <v>221</v>
      </c>
      <c r="B104" s="31" t="s">
        <v>194</v>
      </c>
    </row>
    <row r="105" spans="1:2" ht="24.75" customHeight="1" x14ac:dyDescent="0.2">
      <c r="A105" s="148" t="s">
        <v>18</v>
      </c>
      <c r="B105" s="446">
        <v>400496.27</v>
      </c>
    </row>
    <row r="106" spans="1:2" ht="24.75" customHeight="1" x14ac:dyDescent="0.2">
      <c r="A106" s="146" t="s">
        <v>924</v>
      </c>
      <c r="B106" s="311">
        <v>750942.48</v>
      </c>
    </row>
    <row r="107" spans="1:2" ht="24.75" customHeight="1" x14ac:dyDescent="0.2">
      <c r="A107" s="146" t="s">
        <v>924</v>
      </c>
      <c r="B107" s="311">
        <v>3012996.87</v>
      </c>
    </row>
    <row r="108" spans="1:2" ht="24.75" customHeight="1" x14ac:dyDescent="0.2">
      <c r="A108" s="146" t="s">
        <v>16</v>
      </c>
      <c r="B108" s="362">
        <v>3987001.98</v>
      </c>
    </row>
    <row r="109" spans="1:2" ht="24.75" customHeight="1" x14ac:dyDescent="0.25">
      <c r="A109" s="147"/>
      <c r="B109" s="151">
        <f>SUM(B105:B108)</f>
        <v>8151437.5999999996</v>
      </c>
    </row>
    <row r="110" spans="1:2" ht="24.75" customHeight="1" thickBot="1" x14ac:dyDescent="0.25">
      <c r="A110" s="51"/>
      <c r="B110" s="133"/>
    </row>
    <row r="111" spans="1:2" ht="24.75" customHeight="1" x14ac:dyDescent="0.25">
      <c r="A111" s="9"/>
      <c r="B111" s="9"/>
    </row>
    <row r="112" spans="1:2" ht="21.75" customHeight="1" x14ac:dyDescent="0.25">
      <c r="A112" s="471" t="s">
        <v>295</v>
      </c>
      <c r="B112" s="471"/>
    </row>
    <row r="113" spans="1:2" ht="21.75" customHeight="1" x14ac:dyDescent="0.25">
      <c r="A113" s="471" t="s">
        <v>208</v>
      </c>
      <c r="B113" s="471"/>
    </row>
    <row r="114" spans="1:2" ht="21.75" customHeight="1" x14ac:dyDescent="0.25">
      <c r="A114" s="471" t="s">
        <v>256</v>
      </c>
      <c r="B114" s="471"/>
    </row>
    <row r="115" spans="1:2" ht="21.75" customHeight="1" x14ac:dyDescent="0.25">
      <c r="A115" s="472">
        <v>45291</v>
      </c>
      <c r="B115" s="472"/>
    </row>
    <row r="116" spans="1:2" ht="24.75" customHeight="1" thickBot="1" x14ac:dyDescent="0.3">
      <c r="A116" s="46"/>
      <c r="B116" s="9"/>
    </row>
    <row r="117" spans="1:2" ht="24.75" customHeight="1" thickBot="1" x14ac:dyDescent="0.3">
      <c r="A117" s="30" t="s">
        <v>221</v>
      </c>
      <c r="B117" s="31" t="s">
        <v>194</v>
      </c>
    </row>
    <row r="118" spans="1:2" ht="24.75" customHeight="1" x14ac:dyDescent="0.2">
      <c r="A118" s="148" t="s">
        <v>790</v>
      </c>
      <c r="B118" s="452">
        <f>+B14</f>
        <v>692040</v>
      </c>
    </row>
    <row r="119" spans="1:2" ht="24.75" customHeight="1" x14ac:dyDescent="0.25">
      <c r="A119" s="147"/>
      <c r="B119" s="151">
        <f>SUM(B118:B118)</f>
        <v>692040</v>
      </c>
    </row>
    <row r="120" spans="1:2" ht="24.75" customHeight="1" thickBot="1" x14ac:dyDescent="0.25">
      <c r="A120" s="51"/>
      <c r="B120" s="133"/>
    </row>
    <row r="121" spans="1:2" ht="24.75" customHeight="1" x14ac:dyDescent="0.25">
      <c r="A121" s="9"/>
      <c r="B121" s="9"/>
    </row>
    <row r="122" spans="1:2" ht="20.25" customHeight="1" x14ac:dyDescent="0.25">
      <c r="A122" s="471" t="s">
        <v>295</v>
      </c>
      <c r="B122" s="471"/>
    </row>
    <row r="123" spans="1:2" ht="20.25" customHeight="1" x14ac:dyDescent="0.25">
      <c r="A123" s="471" t="s">
        <v>208</v>
      </c>
      <c r="B123" s="471"/>
    </row>
    <row r="124" spans="1:2" ht="20.25" customHeight="1" x14ac:dyDescent="0.25">
      <c r="A124" s="471" t="s">
        <v>120</v>
      </c>
      <c r="B124" s="471"/>
    </row>
    <row r="125" spans="1:2" ht="20.25" customHeight="1" x14ac:dyDescent="0.25">
      <c r="A125" s="472">
        <v>45291</v>
      </c>
      <c r="B125" s="472"/>
    </row>
    <row r="126" spans="1:2" ht="24.75" customHeight="1" thickBot="1" x14ac:dyDescent="0.3">
      <c r="A126" s="46"/>
      <c r="B126" s="9"/>
    </row>
    <row r="127" spans="1:2" ht="24.75" customHeight="1" thickBot="1" x14ac:dyDescent="0.3">
      <c r="A127" s="30" t="s">
        <v>221</v>
      </c>
      <c r="B127" s="31" t="s">
        <v>194</v>
      </c>
    </row>
    <row r="128" spans="1:2" ht="24.75" customHeight="1" x14ac:dyDescent="0.2">
      <c r="A128" s="148" t="s">
        <v>755</v>
      </c>
      <c r="B128" s="446">
        <v>473770</v>
      </c>
    </row>
    <row r="129" spans="1:4" ht="24.75" customHeight="1" x14ac:dyDescent="0.2">
      <c r="A129" s="146" t="s">
        <v>756</v>
      </c>
      <c r="B129" s="311">
        <v>156955.34</v>
      </c>
    </row>
    <row r="130" spans="1:4" ht="24.75" customHeight="1" x14ac:dyDescent="0.2">
      <c r="A130" s="146" t="s">
        <v>757</v>
      </c>
      <c r="B130" s="362">
        <v>138900</v>
      </c>
    </row>
    <row r="131" spans="1:4" ht="24.75" customHeight="1" x14ac:dyDescent="0.25">
      <c r="A131" s="147"/>
      <c r="B131" s="151">
        <f>SUM(B128:B130)</f>
        <v>769625.34</v>
      </c>
    </row>
    <row r="132" spans="1:4" ht="26.25" customHeight="1" thickBot="1" x14ac:dyDescent="0.25">
      <c r="A132" s="51"/>
      <c r="B132" s="133">
        <f>+B15-B131</f>
        <v>0</v>
      </c>
    </row>
    <row r="133" spans="1:4" ht="24.75" customHeight="1" x14ac:dyDescent="0.2">
      <c r="B133" s="4"/>
    </row>
    <row r="134" spans="1:4" ht="24.75" customHeight="1" x14ac:dyDescent="0.2">
      <c r="B134" s="4"/>
    </row>
    <row r="140" spans="1:4" ht="24.75" customHeight="1" x14ac:dyDescent="0.2">
      <c r="D140" s="2"/>
    </row>
    <row r="141" spans="1:4" ht="24.75" customHeight="1" x14ac:dyDescent="0.2">
      <c r="D141" s="2"/>
    </row>
    <row r="142" spans="1:4" ht="24.75" customHeight="1" x14ac:dyDescent="0.2">
      <c r="D142" s="2"/>
    </row>
  </sheetData>
  <mergeCells count="28">
    <mergeCell ref="A54:B54"/>
    <mergeCell ref="A35:B35"/>
    <mergeCell ref="A36:B36"/>
    <mergeCell ref="A37:B37"/>
    <mergeCell ref="A38:B38"/>
    <mergeCell ref="A3:B3"/>
    <mergeCell ref="A4:B4"/>
    <mergeCell ref="A5:B5"/>
    <mergeCell ref="A6:B6"/>
    <mergeCell ref="A53:B53"/>
    <mergeCell ref="A72:B72"/>
    <mergeCell ref="A125:B125"/>
    <mergeCell ref="A112:B112"/>
    <mergeCell ref="A123:B123"/>
    <mergeCell ref="A124:B124"/>
    <mergeCell ref="A122:B122"/>
    <mergeCell ref="A113:B113"/>
    <mergeCell ref="A114:B114"/>
    <mergeCell ref="A115:B115"/>
    <mergeCell ref="A99:B99"/>
    <mergeCell ref="A100:B100"/>
    <mergeCell ref="A101:B101"/>
    <mergeCell ref="A102:B102"/>
    <mergeCell ref="A55:B55"/>
    <mergeCell ref="A56:B56"/>
    <mergeCell ref="A69:B69"/>
    <mergeCell ref="A70:B70"/>
    <mergeCell ref="A71:B71"/>
  </mergeCells>
  <pageMargins left="0.9055118110236221" right="0.31496062992125984" top="0.74803149606299213" bottom="0.74803149606299213" header="0.31496062992125984" footer="0.31496062992125984"/>
  <pageSetup scale="85" orientation="portrait" r:id="rId1"/>
  <rowBreaks count="1" manualBreakCount="1">
    <brk id="97" max="1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view="pageBreakPreview" topLeftCell="A7" zoomScaleNormal="100" zoomScaleSheetLayoutView="100" workbookViewId="0">
      <selection activeCell="B13" sqref="B13"/>
    </sheetView>
  </sheetViews>
  <sheetFormatPr baseColWidth="10" defaultColWidth="9.140625" defaultRowHeight="24.75" customHeight="1" x14ac:dyDescent="0.2"/>
  <cols>
    <col min="1" max="1" width="64.28515625" style="1" customWidth="1"/>
    <col min="2" max="2" width="21.5703125" style="1" customWidth="1"/>
    <col min="3" max="3" width="16.42578125" style="1" hidden="1" customWidth="1"/>
    <col min="4" max="4" width="49.7109375" style="1" hidden="1" customWidth="1"/>
    <col min="5" max="5" width="23.7109375" style="1" bestFit="1" customWidth="1"/>
    <col min="6" max="6" width="9.140625" style="1"/>
    <col min="7" max="7" width="20" style="1" customWidth="1"/>
    <col min="8" max="16384" width="9.140625" style="1"/>
  </cols>
  <sheetData>
    <row r="1" spans="1:7" ht="24.75" customHeight="1" x14ac:dyDescent="0.2">
      <c r="B1" s="2"/>
      <c r="C1" s="2"/>
      <c r="D1" s="2"/>
    </row>
    <row r="2" spans="1:7" ht="24.75" customHeight="1" x14ac:dyDescent="0.2">
      <c r="B2" s="2"/>
      <c r="C2" s="2"/>
      <c r="D2" s="2"/>
    </row>
    <row r="3" spans="1:7" ht="24.75" customHeight="1" x14ac:dyDescent="0.2">
      <c r="B3" s="2"/>
      <c r="C3" s="2"/>
      <c r="D3" s="2"/>
    </row>
    <row r="4" spans="1:7" ht="24.75" customHeight="1" x14ac:dyDescent="0.25">
      <c r="A4" s="471" t="s">
        <v>220</v>
      </c>
      <c r="B4" s="471"/>
      <c r="C4" s="2"/>
      <c r="D4" s="2"/>
    </row>
    <row r="5" spans="1:7" ht="24.75" customHeight="1" x14ac:dyDescent="0.25">
      <c r="A5" s="471" t="s">
        <v>208</v>
      </c>
      <c r="B5" s="471"/>
      <c r="C5" s="2"/>
      <c r="D5" s="2"/>
    </row>
    <row r="6" spans="1:7" ht="24.75" customHeight="1" x14ac:dyDescent="0.25">
      <c r="A6" s="471" t="s">
        <v>335</v>
      </c>
      <c r="B6" s="471"/>
      <c r="C6" s="2"/>
      <c r="D6" s="2"/>
    </row>
    <row r="7" spans="1:7" ht="24.75" customHeight="1" x14ac:dyDescent="0.25">
      <c r="A7" s="472">
        <v>45291</v>
      </c>
      <c r="B7" s="472"/>
      <c r="C7" s="2"/>
      <c r="D7" s="2"/>
    </row>
    <row r="8" spans="1:7" ht="24.75" customHeight="1" thickBot="1" x14ac:dyDescent="0.3">
      <c r="A8" s="46"/>
      <c r="B8" s="413"/>
      <c r="C8" s="2"/>
      <c r="D8" s="2"/>
    </row>
    <row r="9" spans="1:7" ht="24.75" customHeight="1" thickBot="1" x14ac:dyDescent="0.3">
      <c r="A9" s="30" t="s">
        <v>221</v>
      </c>
      <c r="B9" s="31" t="s">
        <v>194</v>
      </c>
      <c r="C9" s="365"/>
      <c r="D9" s="2"/>
    </row>
    <row r="10" spans="1:7" ht="20.25" customHeight="1" x14ac:dyDescent="0.2">
      <c r="A10" s="445" t="s">
        <v>957</v>
      </c>
      <c r="B10" s="453">
        <v>485514.96</v>
      </c>
      <c r="C10" s="366">
        <v>549288.54</v>
      </c>
      <c r="D10" s="367"/>
      <c r="E10" s="2"/>
    </row>
    <row r="11" spans="1:7" ht="20.25" hidden="1" customHeight="1" x14ac:dyDescent="0.2">
      <c r="A11" s="43" t="s">
        <v>336</v>
      </c>
      <c r="B11" s="179">
        <v>0</v>
      </c>
      <c r="C11" s="366">
        <v>13230744.119999999</v>
      </c>
      <c r="D11" s="367" t="e">
        <f t="array" ref="D11:D22">[1]!'!Hoja2!F97C4:F108C4'</f>
        <v>#REF!</v>
      </c>
      <c r="E11" s="2"/>
      <c r="G11" s="2"/>
    </row>
    <row r="12" spans="1:7" ht="20.25" hidden="1" customHeight="1" x14ac:dyDescent="0.2">
      <c r="A12" s="43" t="s">
        <v>337</v>
      </c>
      <c r="B12" s="179">
        <v>0</v>
      </c>
      <c r="C12" s="366">
        <v>1495631.49</v>
      </c>
      <c r="D12" s="367" t="e">
        <v>#REF!</v>
      </c>
      <c r="E12" s="2"/>
      <c r="G12" s="2"/>
    </row>
    <row r="13" spans="1:7" ht="20.25" customHeight="1" x14ac:dyDescent="0.2">
      <c r="A13" s="43" t="s">
        <v>338</v>
      </c>
      <c r="B13" s="179">
        <f>5625754.04-1358818.18</f>
        <v>4266935.8600000003</v>
      </c>
      <c r="C13" s="366">
        <v>4566805.91</v>
      </c>
      <c r="D13" s="367" t="e">
        <v>#REF!</v>
      </c>
      <c r="E13" s="2"/>
      <c r="G13" s="2"/>
    </row>
    <row r="14" spans="1:7" ht="20.25" hidden="1" customHeight="1" x14ac:dyDescent="0.2">
      <c r="A14" s="43" t="s">
        <v>339</v>
      </c>
      <c r="B14" s="179">
        <v>0</v>
      </c>
      <c r="C14" s="366">
        <v>6793312.1699999999</v>
      </c>
      <c r="D14" s="367" t="e">
        <v>#REF!</v>
      </c>
      <c r="E14" s="2"/>
      <c r="G14" s="2"/>
    </row>
    <row r="15" spans="1:7" ht="20.25" customHeight="1" x14ac:dyDescent="0.2">
      <c r="A15" s="43" t="s">
        <v>340</v>
      </c>
      <c r="B15" s="179">
        <f>529141.02+60000</f>
        <v>589141.02</v>
      </c>
      <c r="C15" s="366">
        <v>617942.16</v>
      </c>
      <c r="D15" s="367" t="e">
        <v>#REF!</v>
      </c>
      <c r="E15" s="2"/>
      <c r="G15" s="2"/>
    </row>
    <row r="16" spans="1:7" ht="20.25" customHeight="1" x14ac:dyDescent="0.2">
      <c r="A16" s="43" t="s">
        <v>341</v>
      </c>
      <c r="B16" s="179">
        <v>6695159.8899999997</v>
      </c>
      <c r="C16" s="366">
        <v>3232769.71</v>
      </c>
      <c r="D16" s="367" t="e">
        <v>#REF!</v>
      </c>
      <c r="E16" s="2"/>
      <c r="G16" s="2"/>
    </row>
    <row r="17" spans="1:7" ht="20.25" customHeight="1" x14ac:dyDescent="0.2">
      <c r="A17" s="43" t="s">
        <v>342</v>
      </c>
      <c r="B17" s="179">
        <v>542779.12</v>
      </c>
      <c r="C17" s="366">
        <v>543933.09</v>
      </c>
      <c r="D17" s="367" t="e">
        <v>#REF!</v>
      </c>
      <c r="E17" s="2"/>
      <c r="G17" s="2"/>
    </row>
    <row r="18" spans="1:7" ht="20.25" customHeight="1" x14ac:dyDescent="0.2">
      <c r="A18" s="43" t="s">
        <v>343</v>
      </c>
      <c r="B18" s="179">
        <v>5736.35</v>
      </c>
      <c r="C18" s="366">
        <v>4434.5</v>
      </c>
      <c r="D18" s="367" t="e">
        <v>#REF!</v>
      </c>
      <c r="E18" s="2"/>
      <c r="G18" s="2"/>
    </row>
    <row r="19" spans="1:7" ht="20.25" customHeight="1" x14ac:dyDescent="0.35">
      <c r="A19" s="43" t="s">
        <v>344</v>
      </c>
      <c r="B19" s="357">
        <v>57363.47</v>
      </c>
      <c r="C19" s="366">
        <v>44344.9</v>
      </c>
      <c r="D19" s="367" t="e">
        <v>#REF!</v>
      </c>
      <c r="E19" s="2"/>
      <c r="G19" s="2"/>
    </row>
    <row r="20" spans="1:7" ht="24.75" customHeight="1" x14ac:dyDescent="0.4">
      <c r="A20" s="369"/>
      <c r="B20" s="41">
        <f>SUM(B10:B19)</f>
        <v>12642630.67</v>
      </c>
      <c r="C20" s="366" t="s">
        <v>791</v>
      </c>
      <c r="D20" s="2" t="e">
        <v>#REF!</v>
      </c>
      <c r="E20" s="2"/>
      <c r="G20" s="2"/>
    </row>
    <row r="21" spans="1:7" ht="15.75" thickBot="1" x14ac:dyDescent="0.25">
      <c r="A21" s="312"/>
      <c r="B21" s="53"/>
      <c r="C21" s="366">
        <v>31079206.59</v>
      </c>
      <c r="D21" s="1" t="e">
        <v>#REF!</v>
      </c>
      <c r="E21" s="2"/>
    </row>
    <row r="22" spans="1:7" ht="15" x14ac:dyDescent="0.2">
      <c r="B22" s="2"/>
      <c r="C22" s="2"/>
      <c r="D22" s="1" t="e">
        <v>#REF!</v>
      </c>
      <c r="E22" s="2"/>
    </row>
    <row r="23" spans="1:7" ht="15" x14ac:dyDescent="0.2">
      <c r="B23" s="2">
        <f>+B20-'A-SITUACION (2)'!D136</f>
        <v>0</v>
      </c>
      <c r="C23" s="2"/>
      <c r="E23" s="2"/>
    </row>
    <row r="24" spans="1:7" ht="15" x14ac:dyDescent="0.2">
      <c r="B24" s="2"/>
      <c r="C24" s="2"/>
    </row>
    <row r="25" spans="1:7" ht="15" x14ac:dyDescent="0.2">
      <c r="B25" s="2"/>
      <c r="C25" s="2"/>
    </row>
    <row r="26" spans="1:7" ht="15" x14ac:dyDescent="0.2">
      <c r="B26" s="2"/>
      <c r="C26" s="2"/>
    </row>
    <row r="27" spans="1:7" ht="15" x14ac:dyDescent="0.2">
      <c r="B27" s="2"/>
      <c r="C27" s="2"/>
    </row>
    <row r="28" spans="1:7" ht="15" x14ac:dyDescent="0.2">
      <c r="B28" s="2"/>
      <c r="C28" s="2"/>
    </row>
    <row r="29" spans="1:7" ht="15" x14ac:dyDescent="0.2">
      <c r="B29" s="2"/>
      <c r="C29" s="2"/>
    </row>
    <row r="30" spans="1:7" ht="15" x14ac:dyDescent="0.2">
      <c r="B30" s="2"/>
      <c r="C30" s="2"/>
    </row>
    <row r="31" spans="1:7" ht="15" x14ac:dyDescent="0.2">
      <c r="B31" s="2"/>
      <c r="C31" s="2"/>
    </row>
    <row r="32" spans="1:7" ht="15" x14ac:dyDescent="0.2">
      <c r="B32" s="2"/>
      <c r="C32" s="2"/>
    </row>
    <row r="33" spans="1:5" ht="15" x14ac:dyDescent="0.2">
      <c r="B33" s="2"/>
      <c r="C33" s="2"/>
    </row>
    <row r="34" spans="1:5" ht="15" x14ac:dyDescent="0.2">
      <c r="B34" s="2"/>
      <c r="C34" s="2"/>
    </row>
    <row r="35" spans="1:5" ht="15" x14ac:dyDescent="0.2">
      <c r="B35" s="2"/>
      <c r="C35" s="2"/>
    </row>
    <row r="36" spans="1:5" ht="24.75" customHeight="1" x14ac:dyDescent="0.2">
      <c r="B36" s="2"/>
      <c r="C36" s="2"/>
      <c r="D36" s="2"/>
    </row>
    <row r="37" spans="1:5" ht="24.75" customHeight="1" x14ac:dyDescent="0.2">
      <c r="B37" s="2"/>
      <c r="C37" s="368" t="s">
        <v>804</v>
      </c>
    </row>
    <row r="38" spans="1:5" ht="24.75" customHeight="1" x14ac:dyDescent="0.2">
      <c r="B38" s="180"/>
      <c r="C38" s="368" t="s">
        <v>724</v>
      </c>
    </row>
    <row r="39" spans="1:5" ht="24.75" customHeight="1" x14ac:dyDescent="0.25">
      <c r="A39" s="10"/>
      <c r="B39" s="10"/>
      <c r="C39" s="368" t="s">
        <v>723</v>
      </c>
    </row>
    <row r="40" spans="1:5" ht="24.75" customHeight="1" x14ac:dyDescent="0.25">
      <c r="A40" s="10"/>
      <c r="B40" s="10"/>
      <c r="C40" s="368"/>
    </row>
    <row r="41" spans="1:5" ht="24.75" customHeight="1" x14ac:dyDescent="0.25">
      <c r="A41" s="471" t="s">
        <v>220</v>
      </c>
      <c r="B41" s="471"/>
      <c r="C41" s="2"/>
    </row>
    <row r="42" spans="1:5" ht="24.75" customHeight="1" x14ac:dyDescent="0.25">
      <c r="A42" s="471" t="s">
        <v>208</v>
      </c>
      <c r="B42" s="471"/>
      <c r="C42" s="368"/>
      <c r="E42" s="364"/>
    </row>
    <row r="43" spans="1:5" ht="24.75" customHeight="1" x14ac:dyDescent="0.25">
      <c r="A43" s="471" t="s">
        <v>250</v>
      </c>
      <c r="B43" s="471"/>
    </row>
    <row r="44" spans="1:5" ht="24.75" customHeight="1" x14ac:dyDescent="0.25">
      <c r="A44" s="472">
        <v>45291</v>
      </c>
      <c r="B44" s="472"/>
    </row>
    <row r="45" spans="1:5" ht="24.75" customHeight="1" thickBot="1" x14ac:dyDescent="0.3">
      <c r="A45" s="46"/>
      <c r="B45" s="9"/>
    </row>
    <row r="46" spans="1:5" ht="24.75" customHeight="1" thickBot="1" x14ac:dyDescent="0.3">
      <c r="A46" s="30" t="s">
        <v>221</v>
      </c>
      <c r="B46" s="31" t="s">
        <v>194</v>
      </c>
    </row>
    <row r="47" spans="1:5" ht="24.75" customHeight="1" x14ac:dyDescent="0.2">
      <c r="A47" s="42" t="s">
        <v>954</v>
      </c>
      <c r="B47" s="38">
        <v>53300</v>
      </c>
    </row>
    <row r="48" spans="1:5" ht="24.75" customHeight="1" x14ac:dyDescent="0.2">
      <c r="A48" s="42" t="s">
        <v>955</v>
      </c>
      <c r="B48" s="39">
        <v>37479.96</v>
      </c>
    </row>
    <row r="49" spans="1:2" ht="24.75" customHeight="1" x14ac:dyDescent="0.35">
      <c r="A49" s="42" t="s">
        <v>956</v>
      </c>
      <c r="B49" s="40">
        <v>394735</v>
      </c>
    </row>
    <row r="50" spans="1:2" ht="24.75" customHeight="1" x14ac:dyDescent="0.4">
      <c r="A50" s="43"/>
      <c r="B50" s="41">
        <f>SUM(B47:B49)</f>
        <v>485514.95999999996</v>
      </c>
    </row>
    <row r="51" spans="1:2" ht="24.75" customHeight="1" thickBot="1" x14ac:dyDescent="0.25">
      <c r="A51" s="51"/>
      <c r="B51" s="150">
        <f>+B10-B50</f>
        <v>0</v>
      </c>
    </row>
    <row r="52" spans="1:2" ht="24.75" customHeight="1" x14ac:dyDescent="0.2">
      <c r="B52" s="2"/>
    </row>
    <row r="53" spans="1:2" ht="17.25" customHeight="1" x14ac:dyDescent="0.25">
      <c r="A53" s="10"/>
      <c r="B53" s="10"/>
    </row>
    <row r="54" spans="1:2" ht="24.75" customHeight="1" x14ac:dyDescent="0.25">
      <c r="A54" s="471" t="s">
        <v>220</v>
      </c>
      <c r="B54" s="471"/>
    </row>
    <row r="55" spans="1:2" ht="24.75" customHeight="1" x14ac:dyDescent="0.25">
      <c r="A55" s="471" t="s">
        <v>208</v>
      </c>
      <c r="B55" s="471"/>
    </row>
    <row r="56" spans="1:2" ht="24.75" customHeight="1" x14ac:dyDescent="0.25">
      <c r="A56" s="471" t="s">
        <v>343</v>
      </c>
      <c r="B56" s="471"/>
    </row>
    <row r="57" spans="1:2" ht="24.75" customHeight="1" x14ac:dyDescent="0.25">
      <c r="A57" s="472">
        <v>45291</v>
      </c>
      <c r="B57" s="472"/>
    </row>
    <row r="58" spans="1:2" ht="24.75" customHeight="1" thickBot="1" x14ac:dyDescent="0.3">
      <c r="A58" s="46"/>
      <c r="B58" s="9"/>
    </row>
    <row r="59" spans="1:2" ht="24.75" customHeight="1" thickBot="1" x14ac:dyDescent="0.3">
      <c r="A59" s="30" t="s">
        <v>221</v>
      </c>
      <c r="B59" s="31" t="s">
        <v>194</v>
      </c>
    </row>
    <row r="60" spans="1:2" ht="24.75" customHeight="1" x14ac:dyDescent="0.2">
      <c r="A60" s="42" t="s">
        <v>50</v>
      </c>
      <c r="B60" s="39">
        <v>1036.21</v>
      </c>
    </row>
    <row r="61" spans="1:2" ht="24.75" customHeight="1" x14ac:dyDescent="0.2">
      <c r="A61" s="42" t="s">
        <v>31</v>
      </c>
      <c r="B61" s="39">
        <v>1468.81</v>
      </c>
    </row>
    <row r="62" spans="1:2" ht="24.75" customHeight="1" x14ac:dyDescent="0.2">
      <c r="A62" s="42" t="s">
        <v>930</v>
      </c>
      <c r="B62" s="39">
        <v>1515.51</v>
      </c>
    </row>
    <row r="63" spans="1:2" ht="24.75" customHeight="1" x14ac:dyDescent="0.35">
      <c r="A63" s="42" t="s">
        <v>38</v>
      </c>
      <c r="B63" s="40">
        <v>1715.82</v>
      </c>
    </row>
    <row r="64" spans="1:2" ht="24.75" customHeight="1" x14ac:dyDescent="0.4">
      <c r="A64" s="43"/>
      <c r="B64" s="41">
        <f>SUM(B60:B63)</f>
        <v>5736.3499999999995</v>
      </c>
    </row>
    <row r="65" spans="1:2" ht="24.75" customHeight="1" thickBot="1" x14ac:dyDescent="0.25">
      <c r="A65" s="51"/>
      <c r="B65" s="150">
        <f>+B18-B64</f>
        <v>0</v>
      </c>
    </row>
    <row r="66" spans="1:2" ht="24.75" customHeight="1" x14ac:dyDescent="0.2">
      <c r="B66" s="2"/>
    </row>
    <row r="67" spans="1:2" ht="24.75" customHeight="1" x14ac:dyDescent="0.2">
      <c r="B67" s="180"/>
    </row>
    <row r="68" spans="1:2" ht="24.75" customHeight="1" x14ac:dyDescent="0.25">
      <c r="A68" s="10"/>
      <c r="B68" s="10"/>
    </row>
    <row r="69" spans="1:2" ht="24.75" customHeight="1" x14ac:dyDescent="0.25">
      <c r="A69" s="471" t="s">
        <v>220</v>
      </c>
      <c r="B69" s="471"/>
    </row>
    <row r="70" spans="1:2" ht="24.75" customHeight="1" x14ac:dyDescent="0.25">
      <c r="A70" s="471" t="s">
        <v>208</v>
      </c>
      <c r="B70" s="471"/>
    </row>
    <row r="71" spans="1:2" ht="24.75" customHeight="1" x14ac:dyDescent="0.25">
      <c r="A71" s="471" t="s">
        <v>344</v>
      </c>
      <c r="B71" s="471"/>
    </row>
    <row r="72" spans="1:2" ht="24.75" customHeight="1" x14ac:dyDescent="0.25">
      <c r="A72" s="472">
        <v>45291</v>
      </c>
      <c r="B72" s="472"/>
    </row>
    <row r="73" spans="1:2" ht="24.75" customHeight="1" thickBot="1" x14ac:dyDescent="0.3">
      <c r="A73" s="46"/>
      <c r="B73" s="9"/>
    </row>
    <row r="74" spans="1:2" ht="24.75" customHeight="1" thickBot="1" x14ac:dyDescent="0.3">
      <c r="A74" s="30" t="s">
        <v>221</v>
      </c>
      <c r="B74" s="31" t="s">
        <v>194</v>
      </c>
    </row>
    <row r="75" spans="1:2" ht="24.75" customHeight="1" x14ac:dyDescent="0.2">
      <c r="A75" s="42" t="s">
        <v>50</v>
      </c>
      <c r="B75" s="38">
        <v>10362.120000000001</v>
      </c>
    </row>
    <row r="76" spans="1:2" ht="24.75" customHeight="1" x14ac:dyDescent="0.2">
      <c r="A76" s="42" t="s">
        <v>31</v>
      </c>
      <c r="B76" s="39">
        <v>14688.12</v>
      </c>
    </row>
    <row r="77" spans="1:2" ht="24.75" customHeight="1" x14ac:dyDescent="0.2">
      <c r="A77" s="42" t="s">
        <v>930</v>
      </c>
      <c r="B77" s="39">
        <v>15155.07</v>
      </c>
    </row>
    <row r="78" spans="1:2" ht="24.75" customHeight="1" x14ac:dyDescent="0.35">
      <c r="A78" s="42" t="s">
        <v>38</v>
      </c>
      <c r="B78" s="40">
        <v>17158.16</v>
      </c>
    </row>
    <row r="79" spans="1:2" ht="24.75" customHeight="1" x14ac:dyDescent="0.4">
      <c r="A79" s="43"/>
      <c r="B79" s="41">
        <f>SUM(B75:B78)</f>
        <v>57363.47</v>
      </c>
    </row>
    <row r="80" spans="1:2" ht="24.75" customHeight="1" thickBot="1" x14ac:dyDescent="0.3">
      <c r="A80" s="51"/>
      <c r="B80" s="372">
        <f>+B19-B79</f>
        <v>0</v>
      </c>
    </row>
    <row r="81" spans="1:2" ht="24.75" customHeight="1" x14ac:dyDescent="0.2">
      <c r="B81" s="180"/>
    </row>
    <row r="82" spans="1:2" ht="15.75" x14ac:dyDescent="0.25">
      <c r="A82" s="10"/>
      <c r="B82" s="10"/>
    </row>
    <row r="83" spans="1:2" ht="23.25" customHeight="1" x14ac:dyDescent="0.25">
      <c r="A83" s="471" t="s">
        <v>220</v>
      </c>
      <c r="B83" s="471"/>
    </row>
    <row r="84" spans="1:2" ht="24.75" customHeight="1" x14ac:dyDescent="0.25">
      <c r="A84" s="471" t="s">
        <v>208</v>
      </c>
      <c r="B84" s="471"/>
    </row>
    <row r="85" spans="1:2" ht="24.75" customHeight="1" x14ac:dyDescent="0.25">
      <c r="A85" s="471" t="s">
        <v>714</v>
      </c>
      <c r="B85" s="471"/>
    </row>
    <row r="86" spans="1:2" ht="24.75" customHeight="1" x14ac:dyDescent="0.25">
      <c r="A86" s="472">
        <v>45291</v>
      </c>
      <c r="B86" s="472"/>
    </row>
    <row r="87" spans="1:2" ht="24.75" customHeight="1" thickBot="1" x14ac:dyDescent="0.3">
      <c r="A87" s="46"/>
      <c r="B87" s="9"/>
    </row>
    <row r="88" spans="1:2" ht="24.75" customHeight="1" thickBot="1" x14ac:dyDescent="0.3">
      <c r="A88" s="30" t="s">
        <v>221</v>
      </c>
      <c r="B88" s="31" t="s">
        <v>194</v>
      </c>
    </row>
    <row r="89" spans="1:2" ht="24.75" customHeight="1" x14ac:dyDescent="0.2">
      <c r="A89" s="314" t="s">
        <v>715</v>
      </c>
      <c r="B89" s="370">
        <v>6561</v>
      </c>
    </row>
    <row r="90" spans="1:2" ht="24.75" customHeight="1" x14ac:dyDescent="0.2">
      <c r="A90" s="314" t="s">
        <v>380</v>
      </c>
      <c r="B90" s="370">
        <v>21188.13</v>
      </c>
    </row>
    <row r="91" spans="1:2" ht="24.75" customHeight="1" x14ac:dyDescent="0.2">
      <c r="A91" s="314" t="s">
        <v>716</v>
      </c>
      <c r="B91" s="370">
        <v>27540</v>
      </c>
    </row>
    <row r="92" spans="1:2" ht="24.75" customHeight="1" x14ac:dyDescent="0.2">
      <c r="A92" s="314" t="s">
        <v>717</v>
      </c>
      <c r="B92" s="370">
        <v>4207.57</v>
      </c>
    </row>
    <row r="93" spans="1:2" ht="24.75" customHeight="1" x14ac:dyDescent="0.2">
      <c r="A93" s="314" t="s">
        <v>718</v>
      </c>
      <c r="B93" s="370">
        <v>837</v>
      </c>
    </row>
    <row r="94" spans="1:2" ht="24.75" customHeight="1" x14ac:dyDescent="0.2">
      <c r="A94" s="314" t="s">
        <v>718</v>
      </c>
      <c r="B94" s="370">
        <v>1026</v>
      </c>
    </row>
    <row r="95" spans="1:2" ht="24.75" customHeight="1" x14ac:dyDescent="0.2">
      <c r="A95" s="314" t="s">
        <v>713</v>
      </c>
      <c r="B95" s="370">
        <v>23942.34</v>
      </c>
    </row>
    <row r="96" spans="1:2" ht="24.75" customHeight="1" x14ac:dyDescent="0.2">
      <c r="A96" s="314" t="s">
        <v>719</v>
      </c>
      <c r="B96" s="370">
        <v>21690</v>
      </c>
    </row>
    <row r="97" spans="1:2" ht="24.75" customHeight="1" x14ac:dyDescent="0.2">
      <c r="A97" s="314" t="s">
        <v>18</v>
      </c>
      <c r="B97" s="370">
        <v>13004.9</v>
      </c>
    </row>
    <row r="98" spans="1:2" ht="24.75" customHeight="1" x14ac:dyDescent="0.2">
      <c r="A98" s="314" t="s">
        <v>720</v>
      </c>
      <c r="B98" s="370">
        <v>53340.97</v>
      </c>
    </row>
    <row r="99" spans="1:2" ht="24.75" customHeight="1" x14ac:dyDescent="0.2">
      <c r="A99" s="314" t="s">
        <v>721</v>
      </c>
      <c r="B99" s="370">
        <v>2754</v>
      </c>
    </row>
    <row r="100" spans="1:2" ht="24.75" customHeight="1" x14ac:dyDescent="0.2">
      <c r="A100" s="314" t="s">
        <v>19</v>
      </c>
      <c r="B100" s="370">
        <v>13265.89</v>
      </c>
    </row>
    <row r="101" spans="1:2" ht="24.75" customHeight="1" x14ac:dyDescent="0.2">
      <c r="A101" s="314" t="s">
        <v>50</v>
      </c>
      <c r="B101" s="370">
        <f>6712.52-102.5-0.49</f>
        <v>6609.5300000000007</v>
      </c>
    </row>
    <row r="102" spans="1:2" ht="24.75" customHeight="1" x14ac:dyDescent="0.2">
      <c r="A102" s="314" t="s">
        <v>718</v>
      </c>
      <c r="B102" s="370">
        <v>1026</v>
      </c>
    </row>
    <row r="103" spans="1:2" ht="24.75" customHeight="1" x14ac:dyDescent="0.35">
      <c r="A103" s="314" t="s">
        <v>722</v>
      </c>
      <c r="B103" s="371">
        <v>313.2</v>
      </c>
    </row>
    <row r="104" spans="1:2" ht="24.75" customHeight="1" thickBot="1" x14ac:dyDescent="0.3">
      <c r="A104" s="314"/>
      <c r="B104" s="315">
        <f>SUM(B89:B103)</f>
        <v>197306.53</v>
      </c>
    </row>
    <row r="105" spans="1:2" ht="24.75" customHeight="1" thickTop="1" thickBot="1" x14ac:dyDescent="0.25">
      <c r="A105" s="51"/>
      <c r="B105" s="150"/>
    </row>
  </sheetData>
  <mergeCells count="20">
    <mergeCell ref="A84:B84"/>
    <mergeCell ref="A85:B85"/>
    <mergeCell ref="A86:B86"/>
    <mergeCell ref="A69:B69"/>
    <mergeCell ref="A70:B70"/>
    <mergeCell ref="A71:B71"/>
    <mergeCell ref="A72:B72"/>
    <mergeCell ref="A83:B83"/>
    <mergeCell ref="A54:B54"/>
    <mergeCell ref="A55:B55"/>
    <mergeCell ref="A56:B56"/>
    <mergeCell ref="A57:B57"/>
    <mergeCell ref="A43:B43"/>
    <mergeCell ref="A44:B44"/>
    <mergeCell ref="A42:B42"/>
    <mergeCell ref="A4:B4"/>
    <mergeCell ref="A5:B5"/>
    <mergeCell ref="A6:B6"/>
    <mergeCell ref="A7:B7"/>
    <mergeCell ref="A41:B41"/>
  </mergeCells>
  <phoneticPr fontId="10" type="noConversion"/>
  <pageMargins left="1.1023622047244095" right="0.31496062992125984" top="0.74803149606299213" bottom="0.74803149606299213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0"/>
  <sheetViews>
    <sheetView topLeftCell="A34" zoomScaleNormal="100" workbookViewId="0">
      <selection activeCell="C28" sqref="A1:C28"/>
    </sheetView>
  </sheetViews>
  <sheetFormatPr baseColWidth="10" defaultColWidth="9.140625" defaultRowHeight="24.75" customHeight="1" x14ac:dyDescent="0.2"/>
  <cols>
    <col min="1" max="1" width="9.140625" style="1" customWidth="1"/>
    <col min="2" max="2" width="45.7109375" style="1" customWidth="1"/>
    <col min="3" max="3" width="23.42578125" style="1" customWidth="1"/>
    <col min="4" max="16384" width="9.140625" style="1"/>
  </cols>
  <sheetData>
    <row r="2" spans="2:3" ht="24.75" customHeight="1" x14ac:dyDescent="0.25">
      <c r="B2" s="471"/>
      <c r="C2" s="471"/>
    </row>
    <row r="3" spans="2:3" ht="24.75" customHeight="1" x14ac:dyDescent="0.25">
      <c r="B3" s="471" t="s">
        <v>294</v>
      </c>
      <c r="C3" s="471"/>
    </row>
    <row r="4" spans="2:3" ht="24.75" customHeight="1" x14ac:dyDescent="0.25">
      <c r="B4" s="471" t="s">
        <v>208</v>
      </c>
      <c r="C4" s="471"/>
    </row>
    <row r="5" spans="2:3" ht="24.75" customHeight="1" x14ac:dyDescent="0.25">
      <c r="B5" s="471" t="s">
        <v>334</v>
      </c>
      <c r="C5" s="471"/>
    </row>
    <row r="6" spans="2:3" ht="24.75" customHeight="1" x14ac:dyDescent="0.25">
      <c r="B6" s="472">
        <v>45291</v>
      </c>
      <c r="C6" s="472"/>
    </row>
    <row r="7" spans="2:3" ht="24.75" customHeight="1" thickBot="1" x14ac:dyDescent="0.25"/>
    <row r="8" spans="2:3" ht="24.75" customHeight="1" thickBot="1" x14ac:dyDescent="0.3">
      <c r="B8" s="30" t="s">
        <v>221</v>
      </c>
      <c r="C8" s="31" t="s">
        <v>194</v>
      </c>
    </row>
    <row r="9" spans="2:3" ht="24.75" customHeight="1" x14ac:dyDescent="0.2">
      <c r="B9" s="28" t="s">
        <v>706</v>
      </c>
      <c r="C9" s="29">
        <v>30000000</v>
      </c>
    </row>
    <row r="10" spans="2:3" ht="24.75" customHeight="1" x14ac:dyDescent="0.4">
      <c r="B10" s="32" t="s">
        <v>206</v>
      </c>
      <c r="C10" s="27">
        <f>SUM(C9:C9)</f>
        <v>30000000</v>
      </c>
    </row>
    <row r="11" spans="2:3" ht="24.75" customHeight="1" x14ac:dyDescent="0.2">
      <c r="B11" s="25"/>
      <c r="C11" s="25"/>
    </row>
    <row r="13" spans="2:3" ht="24.75" customHeight="1" x14ac:dyDescent="0.2">
      <c r="C13" s="1" t="s">
        <v>9</v>
      </c>
    </row>
    <row r="14" spans="2:3" ht="24.75" customHeight="1" x14ac:dyDescent="0.2">
      <c r="C14" s="2"/>
    </row>
    <row r="16" spans="2:3" ht="24.75" customHeight="1" x14ac:dyDescent="0.25">
      <c r="B16" s="471"/>
      <c r="C16" s="471"/>
    </row>
    <row r="17" spans="2:3" ht="24.75" customHeight="1" x14ac:dyDescent="0.25">
      <c r="B17" s="471" t="s">
        <v>928</v>
      </c>
      <c r="C17" s="471"/>
    </row>
    <row r="18" spans="2:3" ht="24.75" customHeight="1" x14ac:dyDescent="0.25">
      <c r="B18" s="471" t="s">
        <v>208</v>
      </c>
      <c r="C18" s="471"/>
    </row>
    <row r="19" spans="2:3" ht="24.75" customHeight="1" x14ac:dyDescent="0.25">
      <c r="B19" s="471" t="s">
        <v>927</v>
      </c>
      <c r="C19" s="471"/>
    </row>
    <row r="20" spans="2:3" ht="24.75" customHeight="1" x14ac:dyDescent="0.25">
      <c r="B20" s="472">
        <v>45291</v>
      </c>
      <c r="C20" s="472"/>
    </row>
    <row r="21" spans="2:3" ht="24.75" customHeight="1" thickBot="1" x14ac:dyDescent="0.25"/>
    <row r="22" spans="2:3" ht="24.75" customHeight="1" thickBot="1" x14ac:dyDescent="0.3">
      <c r="B22" s="30" t="s">
        <v>221</v>
      </c>
      <c r="C22" s="31" t="s">
        <v>194</v>
      </c>
    </row>
    <row r="23" spans="2:3" ht="24.75" customHeight="1" x14ac:dyDescent="0.2">
      <c r="B23" s="28" t="s">
        <v>807</v>
      </c>
      <c r="C23" s="29">
        <v>40000000</v>
      </c>
    </row>
    <row r="24" spans="2:3" ht="24.75" customHeight="1" x14ac:dyDescent="0.4">
      <c r="B24" s="32" t="s">
        <v>206</v>
      </c>
      <c r="C24" s="27">
        <f>SUM(C23:C23)</f>
        <v>40000000</v>
      </c>
    </row>
    <row r="25" spans="2:3" ht="24.75" customHeight="1" x14ac:dyDescent="0.2">
      <c r="B25" s="25"/>
      <c r="C25" s="25"/>
    </row>
    <row r="31" spans="2:3" ht="24.75" customHeight="1" x14ac:dyDescent="0.25">
      <c r="B31" s="471"/>
      <c r="C31" s="471"/>
    </row>
    <row r="32" spans="2:3" ht="24.75" customHeight="1" x14ac:dyDescent="0.25">
      <c r="B32" s="471" t="s">
        <v>809</v>
      </c>
      <c r="C32" s="471"/>
    </row>
    <row r="33" spans="2:3" ht="24.75" customHeight="1" x14ac:dyDescent="0.25">
      <c r="B33" s="471" t="s">
        <v>208</v>
      </c>
      <c r="C33" s="471"/>
    </row>
    <row r="34" spans="2:3" ht="24.75" customHeight="1" x14ac:dyDescent="0.25">
      <c r="B34" s="471" t="s">
        <v>808</v>
      </c>
      <c r="C34" s="471"/>
    </row>
    <row r="35" spans="2:3" ht="24.75" customHeight="1" x14ac:dyDescent="0.25">
      <c r="B35" s="472">
        <v>45291</v>
      </c>
      <c r="C35" s="472"/>
    </row>
    <row r="36" spans="2:3" ht="24.75" customHeight="1" thickBot="1" x14ac:dyDescent="0.25"/>
    <row r="37" spans="2:3" ht="24.75" customHeight="1" thickBot="1" x14ac:dyDescent="0.3">
      <c r="B37" s="30" t="s">
        <v>221</v>
      </c>
      <c r="C37" s="31" t="s">
        <v>194</v>
      </c>
    </row>
    <row r="38" spans="2:3" ht="24.75" customHeight="1" x14ac:dyDescent="0.2">
      <c r="B38" s="28" t="s">
        <v>807</v>
      </c>
      <c r="C38" s="29">
        <v>0</v>
      </c>
    </row>
    <row r="39" spans="2:3" ht="24.75" customHeight="1" x14ac:dyDescent="0.4">
      <c r="B39" s="32" t="s">
        <v>206</v>
      </c>
      <c r="C39" s="27">
        <f>SUM(C38:C38)</f>
        <v>0</v>
      </c>
    </row>
    <row r="40" spans="2:3" ht="24.75" customHeight="1" x14ac:dyDescent="0.2">
      <c r="B40" s="25"/>
      <c r="C40" s="25"/>
    </row>
  </sheetData>
  <mergeCells count="15">
    <mergeCell ref="B31:C31"/>
    <mergeCell ref="B32:C32"/>
    <mergeCell ref="B33:C33"/>
    <mergeCell ref="B34:C34"/>
    <mergeCell ref="B35:C35"/>
    <mergeCell ref="B3:C3"/>
    <mergeCell ref="B5:C5"/>
    <mergeCell ref="B6:C6"/>
    <mergeCell ref="B2:C2"/>
    <mergeCell ref="B4:C4"/>
    <mergeCell ref="B16:C16"/>
    <mergeCell ref="B17:C17"/>
    <mergeCell ref="B18:C18"/>
    <mergeCell ref="B19:C19"/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8"/>
  <sheetViews>
    <sheetView topLeftCell="A14" workbookViewId="0">
      <selection activeCell="I7" sqref="I7"/>
    </sheetView>
  </sheetViews>
  <sheetFormatPr baseColWidth="10" defaultRowHeight="12.75" x14ac:dyDescent="0.2"/>
  <cols>
    <col min="1" max="1" width="8.5703125" customWidth="1"/>
    <col min="2" max="2" width="3.5703125" customWidth="1"/>
    <col min="3" max="3" width="33" bestFit="1" customWidth="1"/>
    <col min="4" max="4" width="18.140625" bestFit="1" customWidth="1"/>
    <col min="5" max="5" width="25.7109375" bestFit="1" customWidth="1"/>
    <col min="6" max="6" width="1.42578125" customWidth="1"/>
  </cols>
  <sheetData>
    <row r="2" spans="2:5" ht="23.25" customHeight="1" x14ac:dyDescent="0.2">
      <c r="B2" s="484" t="s">
        <v>431</v>
      </c>
      <c r="C2" s="484"/>
      <c r="D2" s="484"/>
      <c r="E2" s="484"/>
    </row>
    <row r="3" spans="2:5" ht="18" x14ac:dyDescent="0.2">
      <c r="B3" s="483" t="s">
        <v>413</v>
      </c>
      <c r="C3" s="483"/>
      <c r="D3" s="483"/>
      <c r="E3" s="483"/>
    </row>
    <row r="4" spans="2:5" ht="21" x14ac:dyDescent="0.35">
      <c r="B4" s="255" t="s">
        <v>414</v>
      </c>
      <c r="C4" s="256" t="s">
        <v>415</v>
      </c>
      <c r="D4" s="256" t="s">
        <v>416</v>
      </c>
      <c r="E4" s="257" t="s">
        <v>417</v>
      </c>
    </row>
    <row r="5" spans="2:5" ht="35.25" x14ac:dyDescent="0.35">
      <c r="B5" s="228">
        <v>1</v>
      </c>
      <c r="C5" s="229" t="s">
        <v>418</v>
      </c>
      <c r="D5" s="230">
        <v>9379248.3399999999</v>
      </c>
      <c r="E5" s="34">
        <f>+D5</f>
        <v>9379248.3399999999</v>
      </c>
    </row>
    <row r="6" spans="2:5" ht="23.25" x14ac:dyDescent="0.35">
      <c r="B6" s="33">
        <v>2</v>
      </c>
      <c r="C6" s="231" t="s">
        <v>419</v>
      </c>
      <c r="D6" s="232">
        <v>461648.34</v>
      </c>
      <c r="E6" s="34">
        <f>+D6*1.5</f>
        <v>692472.51</v>
      </c>
    </row>
    <row r="7" spans="2:5" ht="23.25" x14ac:dyDescent="0.35">
      <c r="B7" s="228">
        <v>3</v>
      </c>
      <c r="C7" s="231" t="s">
        <v>420</v>
      </c>
      <c r="D7" s="232">
        <v>35000</v>
      </c>
      <c r="E7" s="34">
        <v>35000</v>
      </c>
    </row>
    <row r="8" spans="2:5" ht="23.25" x14ac:dyDescent="0.35">
      <c r="B8" s="33">
        <v>4</v>
      </c>
      <c r="C8" s="233" t="s">
        <v>301</v>
      </c>
      <c r="D8" s="232">
        <v>370000</v>
      </c>
      <c r="E8" s="34">
        <f>+D8</f>
        <v>370000</v>
      </c>
    </row>
    <row r="9" spans="2:5" ht="23.25" x14ac:dyDescent="0.35">
      <c r="B9" s="228">
        <v>5</v>
      </c>
      <c r="C9" s="233" t="s">
        <v>302</v>
      </c>
      <c r="D9" s="232">
        <v>305000</v>
      </c>
      <c r="E9" s="34">
        <f>+D9</f>
        <v>305000</v>
      </c>
    </row>
    <row r="10" spans="2:5" ht="23.25" x14ac:dyDescent="0.35">
      <c r="B10" s="33">
        <v>6</v>
      </c>
      <c r="C10" s="233" t="s">
        <v>303</v>
      </c>
      <c r="D10" s="232">
        <v>1247700</v>
      </c>
      <c r="E10" s="34">
        <f>+D10</f>
        <v>1247700</v>
      </c>
    </row>
    <row r="11" spans="2:5" ht="23.25" x14ac:dyDescent="0.35">
      <c r="B11" s="228">
        <v>7</v>
      </c>
      <c r="C11" s="233" t="s">
        <v>421</v>
      </c>
      <c r="D11" s="232">
        <v>7792600</v>
      </c>
      <c r="E11" s="34">
        <f>+D11</f>
        <v>7792600</v>
      </c>
    </row>
    <row r="12" spans="2:5" ht="23.25" x14ac:dyDescent="0.35">
      <c r="B12" s="33">
        <v>8</v>
      </c>
      <c r="C12" s="233" t="s">
        <v>422</v>
      </c>
      <c r="D12" s="232">
        <v>7792600</v>
      </c>
      <c r="E12" s="34">
        <f>+D12*2.5</f>
        <v>19481500</v>
      </c>
    </row>
    <row r="13" spans="2:5" ht="23.25" x14ac:dyDescent="0.35">
      <c r="B13" s="228">
        <v>9</v>
      </c>
      <c r="C13" s="233" t="s">
        <v>423</v>
      </c>
      <c r="D13" s="232">
        <v>870000</v>
      </c>
      <c r="E13" s="34">
        <f>+D13*2.5</f>
        <v>2175000</v>
      </c>
    </row>
    <row r="14" spans="2:5" ht="24" thickBot="1" x14ac:dyDescent="0.4">
      <c r="B14" s="33"/>
      <c r="C14" s="33"/>
      <c r="D14" s="33"/>
      <c r="E14" s="35">
        <f>SUM(E5:E13)</f>
        <v>41478520.850000001</v>
      </c>
    </row>
    <row r="15" spans="2:5" ht="19.5" customHeight="1" thickTop="1" x14ac:dyDescent="0.35">
      <c r="B15" s="33"/>
      <c r="C15" s="33"/>
      <c r="D15" s="33"/>
      <c r="E15" s="234"/>
    </row>
    <row r="16" spans="2:5" ht="21" x14ac:dyDescent="0.35">
      <c r="B16" s="33"/>
      <c r="C16" s="8" t="s">
        <v>427</v>
      </c>
      <c r="E16" s="236">
        <v>41478520.850000001</v>
      </c>
    </row>
    <row r="17" spans="2:5" ht="21" x14ac:dyDescent="0.35">
      <c r="B17" s="33"/>
      <c r="C17" s="8" t="s">
        <v>428</v>
      </c>
      <c r="E17" s="258" t="s">
        <v>430</v>
      </c>
    </row>
    <row r="18" spans="2:5" ht="21.75" thickBot="1" x14ac:dyDescent="0.4">
      <c r="B18" s="33"/>
      <c r="C18" s="8" t="s">
        <v>429</v>
      </c>
      <c r="E18" s="237">
        <v>3456543.4041666701</v>
      </c>
    </row>
    <row r="19" spans="2:5" ht="21.75" thickTop="1" x14ac:dyDescent="0.35">
      <c r="B19" s="33"/>
      <c r="C19" s="33"/>
      <c r="E19" s="33"/>
    </row>
    <row r="20" spans="2:5" ht="23.25" x14ac:dyDescent="0.35">
      <c r="B20" s="33"/>
      <c r="D20" s="235" t="s">
        <v>424</v>
      </c>
      <c r="E20" s="34">
        <v>3456543.4041666668</v>
      </c>
    </row>
    <row r="21" spans="2:5" ht="23.25" x14ac:dyDescent="0.35">
      <c r="B21" s="33"/>
      <c r="D21" t="s">
        <v>425</v>
      </c>
      <c r="E21" s="34">
        <v>3456543.4041666668</v>
      </c>
    </row>
    <row r="22" spans="2:5" ht="23.25" x14ac:dyDescent="0.35">
      <c r="B22" s="33"/>
      <c r="D22" t="s">
        <v>426</v>
      </c>
      <c r="E22" s="34">
        <v>3456543.4041666668</v>
      </c>
    </row>
    <row r="23" spans="2:5" ht="23.25" x14ac:dyDescent="0.35">
      <c r="B23" s="33"/>
      <c r="D23" s="235" t="s">
        <v>442</v>
      </c>
      <c r="E23" s="34">
        <f>+E22</f>
        <v>3456543.4041666668</v>
      </c>
    </row>
    <row r="24" spans="2:5" ht="23.25" x14ac:dyDescent="0.35">
      <c r="B24" s="33"/>
      <c r="D24" s="235" t="s">
        <v>486</v>
      </c>
      <c r="E24" s="34">
        <f>+E23</f>
        <v>3456543.4041666668</v>
      </c>
    </row>
    <row r="25" spans="2:5" ht="23.25" x14ac:dyDescent="0.35">
      <c r="B25" s="33"/>
      <c r="D25" s="235" t="s">
        <v>495</v>
      </c>
      <c r="E25" s="34">
        <f>+E24</f>
        <v>3456543.4041666668</v>
      </c>
    </row>
    <row r="26" spans="2:5" ht="23.25" x14ac:dyDescent="0.35">
      <c r="B26" s="33"/>
      <c r="D26" t="s">
        <v>496</v>
      </c>
      <c r="E26" s="34">
        <f>+E25</f>
        <v>3456543.4041666668</v>
      </c>
    </row>
    <row r="27" spans="2:5" ht="23.25" x14ac:dyDescent="0.35">
      <c r="B27" s="33"/>
      <c r="D27" s="235" t="s">
        <v>797</v>
      </c>
      <c r="E27" s="34">
        <f t="shared" ref="E27:E28" si="0">+E26</f>
        <v>3456543.4041666668</v>
      </c>
    </row>
    <row r="28" spans="2:5" ht="23.25" x14ac:dyDescent="0.35">
      <c r="B28" s="33"/>
      <c r="D28" t="s">
        <v>798</v>
      </c>
      <c r="E28" s="34">
        <f t="shared" si="0"/>
        <v>3456543.4041666668</v>
      </c>
    </row>
    <row r="29" spans="2:5" ht="23.25" x14ac:dyDescent="0.35">
      <c r="B29" s="33"/>
      <c r="D29" t="s">
        <v>851</v>
      </c>
      <c r="E29" s="34">
        <f>+E28</f>
        <v>3456543.4041666668</v>
      </c>
    </row>
    <row r="30" spans="2:5" ht="24" thickBot="1" x14ac:dyDescent="0.4">
      <c r="E30" s="35">
        <f>SUM(E20:E29)</f>
        <v>34565434.041666679</v>
      </c>
    </row>
    <row r="31" spans="2:5" ht="9.75" customHeight="1" thickTop="1" x14ac:dyDescent="0.35">
      <c r="E31" s="34"/>
    </row>
    <row r="32" spans="2:5" ht="23.25" x14ac:dyDescent="0.35">
      <c r="D32" s="235" t="s">
        <v>443</v>
      </c>
      <c r="E32" s="34">
        <v>31108890.629999999</v>
      </c>
    </row>
    <row r="33" spans="3:5" ht="10.5" customHeight="1" thickBot="1" x14ac:dyDescent="0.4">
      <c r="E33" s="34"/>
    </row>
    <row r="34" spans="3:5" ht="24" thickBot="1" x14ac:dyDescent="0.4">
      <c r="D34" s="245" t="s">
        <v>444</v>
      </c>
      <c r="E34" s="246">
        <f>+E30-E32</f>
        <v>3456543.4116666801</v>
      </c>
    </row>
    <row r="35" spans="3:5" ht="30.75" customHeight="1" x14ac:dyDescent="0.2"/>
    <row r="36" spans="3:5" ht="15" x14ac:dyDescent="0.2">
      <c r="C36" s="259" t="s">
        <v>487</v>
      </c>
      <c r="D36" s="260">
        <f>+E34</f>
        <v>3456543.4116666801</v>
      </c>
      <c r="E36" s="259"/>
    </row>
    <row r="37" spans="3:5" ht="10.5" customHeight="1" x14ac:dyDescent="0.2">
      <c r="C37" s="259"/>
      <c r="D37" s="260"/>
      <c r="E37" s="259"/>
    </row>
    <row r="38" spans="3:5" ht="15" x14ac:dyDescent="0.2">
      <c r="C38" s="259" t="s">
        <v>488</v>
      </c>
      <c r="D38" s="259"/>
      <c r="E38" s="260">
        <f>+D36</f>
        <v>3456543.4116666801</v>
      </c>
    </row>
  </sheetData>
  <mergeCells count="2">
    <mergeCell ref="B3:E3"/>
    <mergeCell ref="B2:E2"/>
  </mergeCells>
  <phoneticPr fontId="10" type="noConversion"/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G24"/>
  <sheetViews>
    <sheetView topLeftCell="A13" workbookViewId="0">
      <selection activeCell="B1" sqref="B1:G24"/>
    </sheetView>
  </sheetViews>
  <sheetFormatPr baseColWidth="10" defaultRowHeight="12.75" x14ac:dyDescent="0.2"/>
  <cols>
    <col min="3" max="3" width="20.42578125" bestFit="1" customWidth="1"/>
    <col min="4" max="4" width="20.5703125" bestFit="1" customWidth="1"/>
    <col min="5" max="5" width="17" customWidth="1"/>
  </cols>
  <sheetData>
    <row r="2" spans="3:7" ht="18.75" x14ac:dyDescent="0.3">
      <c r="C2" s="485" t="s">
        <v>431</v>
      </c>
      <c r="D2" s="485"/>
      <c r="E2" s="485"/>
      <c r="F2" s="485"/>
      <c r="G2" s="485"/>
    </row>
    <row r="3" spans="3:7" ht="15.75" x14ac:dyDescent="0.25">
      <c r="C3" s="486" t="s">
        <v>432</v>
      </c>
      <c r="D3" s="486"/>
      <c r="E3" s="486"/>
      <c r="F3" s="486"/>
      <c r="G3" s="486"/>
    </row>
    <row r="4" spans="3:7" ht="19.5" x14ac:dyDescent="0.3">
      <c r="C4" s="233"/>
      <c r="D4" s="238"/>
      <c r="E4" s="238"/>
    </row>
    <row r="5" spans="3:7" ht="19.5" x14ac:dyDescent="0.3">
      <c r="C5" s="233" t="s">
        <v>433</v>
      </c>
      <c r="D5" s="238">
        <v>461648.34</v>
      </c>
      <c r="E5" s="238"/>
    </row>
    <row r="6" spans="3:7" ht="19.5" x14ac:dyDescent="0.3">
      <c r="C6" s="233" t="s">
        <v>434</v>
      </c>
      <c r="D6" s="238">
        <v>255000</v>
      </c>
      <c r="E6" s="238"/>
    </row>
    <row r="7" spans="3:7" ht="19.5" x14ac:dyDescent="0.3">
      <c r="C7" s="233" t="s">
        <v>435</v>
      </c>
      <c r="D7" s="238">
        <v>7792600</v>
      </c>
      <c r="E7" s="238"/>
    </row>
    <row r="8" spans="3:7" ht="19.5" x14ac:dyDescent="0.3">
      <c r="C8" s="233" t="s">
        <v>436</v>
      </c>
      <c r="D8" s="238">
        <v>870000</v>
      </c>
      <c r="E8" s="238"/>
    </row>
    <row r="9" spans="3:7" ht="20.25" thickBot="1" x14ac:dyDescent="0.35">
      <c r="C9" s="233" t="s">
        <v>207</v>
      </c>
      <c r="D9" s="239">
        <v>9379248.3399999999</v>
      </c>
      <c r="E9" s="238">
        <v>781604.02833333332</v>
      </c>
    </row>
    <row r="10" spans="3:7" ht="20.25" thickTop="1" x14ac:dyDescent="0.3">
      <c r="C10" s="233"/>
      <c r="D10" s="238"/>
      <c r="E10" s="238"/>
    </row>
    <row r="11" spans="3:7" ht="19.5" x14ac:dyDescent="0.3">
      <c r="C11" s="233"/>
      <c r="D11" s="238" t="s">
        <v>437</v>
      </c>
      <c r="E11" s="240">
        <v>781604.02833333332</v>
      </c>
    </row>
    <row r="12" spans="3:7" ht="19.5" x14ac:dyDescent="0.3">
      <c r="C12" s="233"/>
      <c r="D12" s="233"/>
      <c r="E12" s="241"/>
      <c r="F12" s="238"/>
      <c r="G12" s="238"/>
    </row>
    <row r="13" spans="3:7" ht="15" x14ac:dyDescent="0.2">
      <c r="D13" s="1"/>
      <c r="E13" s="1"/>
    </row>
    <row r="14" spans="3:7" ht="15" x14ac:dyDescent="0.2">
      <c r="D14" s="1" t="s">
        <v>438</v>
      </c>
      <c r="E14" s="6">
        <f>+E11</f>
        <v>781604.02833333332</v>
      </c>
    </row>
    <row r="15" spans="3:7" ht="15" x14ac:dyDescent="0.2">
      <c r="D15" s="1" t="s">
        <v>439</v>
      </c>
      <c r="E15" s="6">
        <f t="shared" ref="E15:E22" si="0">+E14</f>
        <v>781604.02833333332</v>
      </c>
    </row>
    <row r="16" spans="3:7" ht="15" x14ac:dyDescent="0.2">
      <c r="D16" s="1" t="s">
        <v>440</v>
      </c>
      <c r="E16" s="6">
        <f t="shared" si="0"/>
        <v>781604.02833333332</v>
      </c>
    </row>
    <row r="17" spans="4:5" ht="15" x14ac:dyDescent="0.2">
      <c r="D17" s="1" t="s">
        <v>445</v>
      </c>
      <c r="E17" s="6">
        <f t="shared" si="0"/>
        <v>781604.02833333332</v>
      </c>
    </row>
    <row r="18" spans="4:5" ht="15" x14ac:dyDescent="0.2">
      <c r="D18" s="1" t="s">
        <v>492</v>
      </c>
      <c r="E18" s="6">
        <f t="shared" si="0"/>
        <v>781604.02833333332</v>
      </c>
    </row>
    <row r="19" spans="4:5" ht="15" x14ac:dyDescent="0.2">
      <c r="D19" s="1" t="s">
        <v>493</v>
      </c>
      <c r="E19" s="6">
        <f t="shared" si="0"/>
        <v>781604.02833333332</v>
      </c>
    </row>
    <row r="20" spans="4:5" ht="15" x14ac:dyDescent="0.2">
      <c r="D20" s="1" t="s">
        <v>494</v>
      </c>
      <c r="E20" s="6">
        <f t="shared" si="0"/>
        <v>781604.02833333332</v>
      </c>
    </row>
    <row r="21" spans="4:5" ht="15" x14ac:dyDescent="0.2">
      <c r="D21" s="1" t="s">
        <v>795</v>
      </c>
      <c r="E21" s="6">
        <f t="shared" si="0"/>
        <v>781604.02833333332</v>
      </c>
    </row>
    <row r="22" spans="4:5" ht="15" x14ac:dyDescent="0.2">
      <c r="D22" s="1" t="s">
        <v>796</v>
      </c>
      <c r="E22" s="6">
        <f t="shared" si="0"/>
        <v>781604.02833333332</v>
      </c>
    </row>
    <row r="23" spans="4:5" ht="16.5" thickBot="1" x14ac:dyDescent="0.3">
      <c r="D23" s="1" t="s">
        <v>708</v>
      </c>
      <c r="E23" s="247">
        <f>SUM(E14:E22)</f>
        <v>7034436.2549999999</v>
      </c>
    </row>
    <row r="24" spans="4:5" ht="13.5" thickTop="1" x14ac:dyDescent="0.2"/>
  </sheetData>
  <mergeCells count="2">
    <mergeCell ref="C2:G2"/>
    <mergeCell ref="C3:G3"/>
  </mergeCells>
  <phoneticPr fontId="10" type="noConversion"/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4"/>
  <sheetViews>
    <sheetView topLeftCell="A66" workbookViewId="0">
      <selection sqref="A1:XFD1048576"/>
    </sheetView>
  </sheetViews>
  <sheetFormatPr baseColWidth="10" defaultColWidth="11.42578125" defaultRowHeight="12.75" x14ac:dyDescent="0.2"/>
  <cols>
    <col min="1" max="1" width="4.42578125" style="273" bestFit="1" customWidth="1"/>
    <col min="2" max="2" width="44.28515625" customWidth="1"/>
    <col min="3" max="3" width="14.42578125" style="355" bestFit="1" customWidth="1"/>
    <col min="4" max="4" width="19.28515625" style="266" customWidth="1"/>
    <col min="5" max="5" width="13.42578125" style="273" customWidth="1"/>
    <col min="6" max="6" width="30.7109375" style="273" customWidth="1"/>
    <col min="7" max="7" width="25.140625" customWidth="1"/>
    <col min="8" max="8" width="21.42578125" customWidth="1"/>
    <col min="9" max="9" width="25.140625" customWidth="1"/>
    <col min="10" max="10" width="24.140625" style="273" customWidth="1"/>
    <col min="11" max="11" width="12.85546875" style="273" hidden="1" customWidth="1"/>
    <col min="12" max="12" width="19.28515625" style="273" customWidth="1"/>
    <col min="13" max="13" width="12.42578125" style="273" customWidth="1"/>
    <col min="14" max="14" width="14.85546875" style="273" customWidth="1"/>
    <col min="15" max="15" width="11.42578125" style="273"/>
    <col min="16" max="16" width="17.7109375" style="271" customWidth="1"/>
    <col min="17" max="17" width="17.85546875" customWidth="1"/>
  </cols>
  <sheetData>
    <row r="1" spans="1:16" ht="15" x14ac:dyDescent="0.25">
      <c r="O1" s="387">
        <f ca="1">TODAY()</f>
        <v>45317</v>
      </c>
    </row>
    <row r="2" spans="1:16" s="266" customFormat="1" ht="45" x14ac:dyDescent="0.2">
      <c r="A2" s="339" t="s">
        <v>497</v>
      </c>
      <c r="B2" s="339" t="s">
        <v>498</v>
      </c>
      <c r="C2" s="339" t="s">
        <v>499</v>
      </c>
      <c r="D2" s="339" t="s">
        <v>501</v>
      </c>
      <c r="E2" s="339" t="s">
        <v>500</v>
      </c>
      <c r="F2" s="339" t="s">
        <v>783</v>
      </c>
      <c r="G2" s="339" t="s">
        <v>784</v>
      </c>
      <c r="H2" s="339" t="s">
        <v>785</v>
      </c>
      <c r="I2" s="339" t="s">
        <v>786</v>
      </c>
      <c r="J2" s="339" t="s">
        <v>787</v>
      </c>
      <c r="K2" s="339"/>
      <c r="L2" s="339" t="s">
        <v>788</v>
      </c>
      <c r="M2" s="339" t="s">
        <v>504</v>
      </c>
      <c r="N2" s="340" t="s">
        <v>502</v>
      </c>
      <c r="O2" s="340" t="s">
        <v>503</v>
      </c>
      <c r="P2" s="339" t="s">
        <v>789</v>
      </c>
    </row>
    <row r="3" spans="1:16" ht="15" x14ac:dyDescent="0.2">
      <c r="A3" s="268">
        <v>1</v>
      </c>
      <c r="B3" s="388" t="s">
        <v>505</v>
      </c>
      <c r="C3" s="341" t="s">
        <v>506</v>
      </c>
      <c r="D3" s="342" t="s">
        <v>507</v>
      </c>
      <c r="E3" s="267">
        <v>35916</v>
      </c>
      <c r="F3" s="343" t="str">
        <f ca="1">DATEDIF(E3,$O$1,"y") &amp; " años " &amp;  DATEDIF(E3,$O$1,"YM") &amp; " meses " &amp;  DATEDIF(E3,$O$1,"MD") &amp; " días "</f>
        <v xml:space="preserve">25 años 8 meses 25 días </v>
      </c>
      <c r="G3" s="344"/>
      <c r="H3" s="344"/>
      <c r="I3" s="344"/>
      <c r="J3" s="343" t="str">
        <f ca="1">F3</f>
        <v xml:space="preserve">25 años 8 meses 25 días </v>
      </c>
      <c r="K3" s="343" t="str">
        <f ca="1">+MID(J3,1,FIND("años",J3,1)-1)</f>
        <v xml:space="preserve">25 </v>
      </c>
      <c r="L3" s="389">
        <f ca="1">IF(AND(_xlfn.NUMBERVALUE(K3)&gt;=1,_xlfn.NUMBERVALUE(K3)&lt;=4.99),(15),IF(AND(_xlfn.NUMBERVALUE(K3)&gt;=5,_xlfn.NUMBERVALUE(K3)&lt;=9.99),(20),IF(AND(_xlfn.NUMBERVALUE(K3)&gt;=10,_xlfn.NUMBERVALUE(K3)&lt;=14.99),(25),IF(_xlfn.NUMBERVALUE(K3)&gt;=15,(30),0))))</f>
        <v>30</v>
      </c>
      <c r="M3" s="268">
        <v>30</v>
      </c>
      <c r="N3" s="390">
        <v>120000</v>
      </c>
      <c r="O3" s="343">
        <f>N3/21.67</f>
        <v>5537.6095985233032</v>
      </c>
      <c r="P3" s="391">
        <f>O3*M3</f>
        <v>166128.28795569911</v>
      </c>
    </row>
    <row r="4" spans="1:16" ht="25.5" x14ac:dyDescent="0.2">
      <c r="A4" s="268">
        <v>2</v>
      </c>
      <c r="B4" s="388" t="s">
        <v>508</v>
      </c>
      <c r="C4" s="341" t="s">
        <v>509</v>
      </c>
      <c r="D4" s="342" t="s">
        <v>510</v>
      </c>
      <c r="E4" s="267">
        <v>38386</v>
      </c>
      <c r="F4" s="343" t="str">
        <f ca="1">DATEDIF(E4,$O$1,"y") &amp; " años " &amp;  DATEDIF(E4,$O$1,"YM") &amp; " meses " &amp;  DATEDIF(E4,$O$1,"MD") &amp; " días "</f>
        <v xml:space="preserve">18 años 11 meses 23 días </v>
      </c>
      <c r="G4" s="344"/>
      <c r="H4" s="344"/>
      <c r="I4" s="344"/>
      <c r="J4" s="343" t="str">
        <f t="shared" ref="J4:J5" ca="1" si="0">F4</f>
        <v xml:space="preserve">18 años 11 meses 23 días </v>
      </c>
      <c r="K4" s="343" t="str">
        <f t="shared" ref="K4:K66" ca="1" si="1">+MID(J4,1,FIND("años",J4,1)-1)</f>
        <v xml:space="preserve">18 </v>
      </c>
      <c r="L4" s="389">
        <f t="shared" ref="L4:L66" ca="1" si="2">IF(AND(_xlfn.NUMBERVALUE(K4)&gt;=1,_xlfn.NUMBERVALUE(K4)&lt;=4.99),(15),IF(AND(_xlfn.NUMBERVALUE(K4)&gt;=5,_xlfn.NUMBERVALUE(K4)&lt;=9.99),(20),IF(AND(_xlfn.NUMBERVALUE(K4)&gt;=10,_xlfn.NUMBERVALUE(K4)&lt;=14.99),(25),IF(_xlfn.NUMBERVALUE(K4)&gt;=15,(30),0))))</f>
        <v>30</v>
      </c>
      <c r="M4" s="268">
        <v>42</v>
      </c>
      <c r="N4" s="390">
        <v>65000</v>
      </c>
      <c r="O4" s="343">
        <f t="shared" ref="O4:O90" si="3">N4/21.67</f>
        <v>2999.538532533456</v>
      </c>
      <c r="P4" s="391">
        <f t="shared" ref="P4:P66" si="4">O4*M4</f>
        <v>125980.61836640515</v>
      </c>
    </row>
    <row r="5" spans="1:16" ht="38.25" x14ac:dyDescent="0.2">
      <c r="A5" s="268">
        <v>3</v>
      </c>
      <c r="B5" s="388" t="s">
        <v>511</v>
      </c>
      <c r="C5" s="341" t="s">
        <v>512</v>
      </c>
      <c r="D5" s="342" t="s">
        <v>513</v>
      </c>
      <c r="E5" s="267">
        <v>41334</v>
      </c>
      <c r="F5" s="343" t="str">
        <f ca="1">DATEDIF(E5,$O$1,"y") &amp; " años " &amp;  DATEDIF(E5,$O$1,"YM") &amp; " meses " &amp;  DATEDIF(E5,$O$1,"MD") &amp; " días "</f>
        <v xml:space="preserve">10 años 10 meses 25 días </v>
      </c>
      <c r="G5" s="344"/>
      <c r="H5" s="344"/>
      <c r="I5" s="344"/>
      <c r="J5" s="343" t="str">
        <f t="shared" ca="1" si="0"/>
        <v xml:space="preserve">10 años 10 meses 25 días </v>
      </c>
      <c r="K5" s="343" t="str">
        <f t="shared" ca="1" si="1"/>
        <v xml:space="preserve">10 </v>
      </c>
      <c r="L5" s="389">
        <f t="shared" ca="1" si="2"/>
        <v>25</v>
      </c>
      <c r="M5" s="268">
        <v>15</v>
      </c>
      <c r="N5" s="390">
        <v>85000</v>
      </c>
      <c r="O5" s="343">
        <f t="shared" si="3"/>
        <v>3922.4734656206733</v>
      </c>
      <c r="P5" s="391">
        <f t="shared" si="4"/>
        <v>58837.101984310102</v>
      </c>
    </row>
    <row r="6" spans="1:16" x14ac:dyDescent="0.2">
      <c r="A6" s="487">
        <v>4</v>
      </c>
      <c r="B6" s="499" t="s">
        <v>514</v>
      </c>
      <c r="C6" s="502" t="s">
        <v>515</v>
      </c>
      <c r="D6" s="505" t="s">
        <v>516</v>
      </c>
      <c r="E6" s="508">
        <v>44682</v>
      </c>
      <c r="F6" s="493" t="str">
        <f ca="1">DATEDIF(E6,$O$1,"y") &amp; " años " &amp;  DATEDIF(E6,$O$1,"YM") &amp; " meses " &amp;  DATEDIF(E6,$O$1,"MD") &amp; " días "</f>
        <v xml:space="preserve">1 años 8 meses 25 días </v>
      </c>
      <c r="G6" s="345">
        <v>44682</v>
      </c>
      <c r="H6" s="345">
        <f ca="1">TODAY()</f>
        <v>45317</v>
      </c>
      <c r="I6" s="346" t="e">
        <f ca="1">SumAños(G6:H6)</f>
        <v>#NAME?</v>
      </c>
      <c r="J6" s="511" t="e">
        <f ca="1">SumAños(G6:H8)</f>
        <v>#NAME?</v>
      </c>
      <c r="K6" s="493" t="e">
        <f t="shared" ca="1" si="1"/>
        <v>#NAME?</v>
      </c>
      <c r="L6" s="514" t="e">
        <f t="shared" ca="1" si="2"/>
        <v>#NAME?</v>
      </c>
      <c r="M6" s="487">
        <v>14</v>
      </c>
      <c r="N6" s="490">
        <v>60000</v>
      </c>
      <c r="O6" s="493">
        <f t="shared" si="3"/>
        <v>2768.8047992616516</v>
      </c>
      <c r="P6" s="496">
        <f>O6*M6</f>
        <v>38763.267189663122</v>
      </c>
    </row>
    <row r="7" spans="1:16" x14ac:dyDescent="0.2">
      <c r="A7" s="488"/>
      <c r="B7" s="500"/>
      <c r="C7" s="503"/>
      <c r="D7" s="506"/>
      <c r="E7" s="509"/>
      <c r="F7" s="494"/>
      <c r="G7" s="345">
        <v>43586</v>
      </c>
      <c r="H7" s="345">
        <v>44681</v>
      </c>
      <c r="I7" s="346" t="e">
        <f t="shared" ref="I7:I84" ca="1" si="5">SumAños(G7:H7)</f>
        <v>#NAME?</v>
      </c>
      <c r="J7" s="512"/>
      <c r="K7" s="494"/>
      <c r="L7" s="515"/>
      <c r="M7" s="488"/>
      <c r="N7" s="491"/>
      <c r="O7" s="494"/>
      <c r="P7" s="497"/>
    </row>
    <row r="8" spans="1:16" x14ac:dyDescent="0.2">
      <c r="A8" s="489"/>
      <c r="B8" s="501"/>
      <c r="C8" s="504"/>
      <c r="D8" s="507"/>
      <c r="E8" s="510"/>
      <c r="F8" s="495"/>
      <c r="G8" s="345">
        <v>38930</v>
      </c>
      <c r="H8" s="345">
        <v>39479</v>
      </c>
      <c r="I8" s="346" t="e">
        <f t="shared" ca="1" si="5"/>
        <v>#NAME?</v>
      </c>
      <c r="J8" s="513"/>
      <c r="K8" s="495"/>
      <c r="L8" s="516"/>
      <c r="M8" s="489"/>
      <c r="N8" s="492"/>
      <c r="O8" s="495"/>
      <c r="P8" s="498"/>
    </row>
    <row r="9" spans="1:16" ht="15" x14ac:dyDescent="0.2">
      <c r="A9" s="268">
        <v>5</v>
      </c>
      <c r="B9" s="388" t="s">
        <v>517</v>
      </c>
      <c r="C9" s="341" t="s">
        <v>518</v>
      </c>
      <c r="D9" s="342" t="s">
        <v>519</v>
      </c>
      <c r="E9" s="267">
        <v>44713</v>
      </c>
      <c r="F9" s="343" t="str">
        <f t="shared" ref="F9:F14" ca="1" si="6">DATEDIF(E9,$O$1,"y") &amp; " años " &amp;  DATEDIF(E9,$O$1,"YM") &amp; " meses " &amp;  DATEDIF(E9,$O$1,"MD") &amp; " días "</f>
        <v xml:space="preserve">1 años 7 meses 25 días </v>
      </c>
      <c r="G9" s="344"/>
      <c r="H9" s="344"/>
      <c r="I9" s="346"/>
      <c r="J9" s="343" t="str">
        <f ca="1">F9</f>
        <v xml:space="preserve">1 años 7 meses 25 días </v>
      </c>
      <c r="K9" s="343" t="str">
        <f t="shared" ca="1" si="1"/>
        <v xml:space="preserve">1 </v>
      </c>
      <c r="L9" s="389">
        <f t="shared" ca="1" si="2"/>
        <v>15</v>
      </c>
      <c r="M9" s="268">
        <v>10</v>
      </c>
      <c r="N9" s="390">
        <v>20000</v>
      </c>
      <c r="O9" s="343">
        <f t="shared" si="3"/>
        <v>922.93493308721725</v>
      </c>
      <c r="P9" s="391">
        <f t="shared" si="4"/>
        <v>9229.3493308721718</v>
      </c>
    </row>
    <row r="10" spans="1:16" ht="15" x14ac:dyDescent="0.2">
      <c r="A10" s="268">
        <v>6</v>
      </c>
      <c r="B10" s="388" t="s">
        <v>520</v>
      </c>
      <c r="C10" s="341" t="s">
        <v>521</v>
      </c>
      <c r="D10" s="342" t="s">
        <v>362</v>
      </c>
      <c r="E10" s="267">
        <v>39552</v>
      </c>
      <c r="F10" s="343" t="str">
        <f t="shared" ca="1" si="6"/>
        <v xml:space="preserve">15 años 9 meses 12 días </v>
      </c>
      <c r="G10" s="344"/>
      <c r="H10" s="344"/>
      <c r="I10" s="346"/>
      <c r="J10" s="343" t="str">
        <f t="shared" ref="J10:J92" ca="1" si="7">F10</f>
        <v xml:space="preserve">15 años 9 meses 12 días </v>
      </c>
      <c r="K10" s="343" t="str">
        <f t="shared" ca="1" si="1"/>
        <v xml:space="preserve">15 </v>
      </c>
      <c r="L10" s="389">
        <f t="shared" ca="1" si="2"/>
        <v>30</v>
      </c>
      <c r="M10" s="268">
        <v>38</v>
      </c>
      <c r="N10" s="390">
        <v>120000</v>
      </c>
      <c r="O10" s="343">
        <f t="shared" si="3"/>
        <v>5537.6095985233032</v>
      </c>
      <c r="P10" s="391">
        <f t="shared" si="4"/>
        <v>210429.16474388551</v>
      </c>
    </row>
    <row r="11" spans="1:16" ht="15" x14ac:dyDescent="0.2">
      <c r="A11" s="268">
        <v>7</v>
      </c>
      <c r="B11" s="388" t="s">
        <v>522</v>
      </c>
      <c r="C11" s="341" t="s">
        <v>523</v>
      </c>
      <c r="D11" s="342" t="s">
        <v>519</v>
      </c>
      <c r="E11" s="267">
        <v>38261</v>
      </c>
      <c r="F11" s="343" t="str">
        <f t="shared" ca="1" si="6"/>
        <v xml:space="preserve">19 años 3 meses 25 días </v>
      </c>
      <c r="G11" s="344"/>
      <c r="H11" s="344"/>
      <c r="I11" s="346"/>
      <c r="J11" s="343" t="str">
        <f t="shared" ca="1" si="7"/>
        <v xml:space="preserve">19 años 3 meses 25 días </v>
      </c>
      <c r="K11" s="343" t="str">
        <f t="shared" ca="1" si="1"/>
        <v xml:space="preserve">19 </v>
      </c>
      <c r="L11" s="389">
        <f t="shared" ca="1" si="2"/>
        <v>30</v>
      </c>
      <c r="M11" s="268">
        <v>30</v>
      </c>
      <c r="N11" s="390">
        <v>21300</v>
      </c>
      <c r="O11" s="343">
        <f t="shared" si="3"/>
        <v>982.92570373788635</v>
      </c>
      <c r="P11" s="391">
        <f t="shared" si="4"/>
        <v>29487.77111213659</v>
      </c>
    </row>
    <row r="12" spans="1:16" ht="25.5" x14ac:dyDescent="0.2">
      <c r="A12" s="268">
        <v>8</v>
      </c>
      <c r="B12" s="388" t="s">
        <v>524</v>
      </c>
      <c r="C12" s="341" t="s">
        <v>525</v>
      </c>
      <c r="D12" s="342" t="s">
        <v>526</v>
      </c>
      <c r="E12" s="267">
        <v>42248</v>
      </c>
      <c r="F12" s="343" t="str">
        <f t="shared" ca="1" si="6"/>
        <v xml:space="preserve">8 años 4 meses 25 días </v>
      </c>
      <c r="G12" s="344"/>
      <c r="H12" s="344"/>
      <c r="I12" s="346"/>
      <c r="J12" s="343" t="str">
        <f t="shared" ca="1" si="7"/>
        <v xml:space="preserve">8 años 4 meses 25 días </v>
      </c>
      <c r="K12" s="343" t="str">
        <f t="shared" ca="1" si="1"/>
        <v xml:space="preserve">8 </v>
      </c>
      <c r="L12" s="389">
        <f t="shared" ca="1" si="2"/>
        <v>20</v>
      </c>
      <c r="M12" s="268">
        <v>15</v>
      </c>
      <c r="N12" s="390">
        <v>80000</v>
      </c>
      <c r="O12" s="343">
        <f t="shared" si="3"/>
        <v>3691.739732348869</v>
      </c>
      <c r="P12" s="391">
        <f t="shared" si="4"/>
        <v>55376.095985233034</v>
      </c>
    </row>
    <row r="13" spans="1:16" ht="15" x14ac:dyDescent="0.2">
      <c r="A13" s="268">
        <v>9</v>
      </c>
      <c r="B13" s="388" t="s">
        <v>527</v>
      </c>
      <c r="C13" s="341" t="s">
        <v>528</v>
      </c>
      <c r="D13" s="342" t="s">
        <v>516</v>
      </c>
      <c r="E13" s="267">
        <v>43313</v>
      </c>
      <c r="F13" s="343" t="str">
        <f t="shared" ca="1" si="6"/>
        <v xml:space="preserve">5 años 5 meses 25 días </v>
      </c>
      <c r="G13" s="344"/>
      <c r="H13" s="344"/>
      <c r="I13" s="346"/>
      <c r="J13" s="343" t="str">
        <f ca="1">F13</f>
        <v xml:space="preserve">5 años 5 meses 25 días </v>
      </c>
      <c r="K13" s="343" t="str">
        <f t="shared" ca="1" si="1"/>
        <v xml:space="preserve">5 </v>
      </c>
      <c r="L13" s="389">
        <f t="shared" ca="1" si="2"/>
        <v>20</v>
      </c>
      <c r="M13" s="268">
        <v>20</v>
      </c>
      <c r="N13" s="390">
        <v>60000</v>
      </c>
      <c r="O13" s="343">
        <f t="shared" si="3"/>
        <v>2768.8047992616516</v>
      </c>
      <c r="P13" s="391">
        <f t="shared" si="4"/>
        <v>55376.095985233034</v>
      </c>
    </row>
    <row r="14" spans="1:16" x14ac:dyDescent="0.2">
      <c r="A14" s="487">
        <v>10</v>
      </c>
      <c r="B14" s="499" t="s">
        <v>529</v>
      </c>
      <c r="C14" s="502" t="s">
        <v>530</v>
      </c>
      <c r="D14" s="505" t="s">
        <v>362</v>
      </c>
      <c r="E14" s="508">
        <v>44480</v>
      </c>
      <c r="F14" s="493" t="str">
        <f t="shared" ca="1" si="6"/>
        <v xml:space="preserve">2 años 3 meses 15 días </v>
      </c>
      <c r="G14" s="344"/>
      <c r="H14" s="344"/>
      <c r="I14" s="346"/>
      <c r="J14" s="511" t="e">
        <f ca="1">SumAños(G15:H16)</f>
        <v>#NAME?</v>
      </c>
      <c r="K14" s="343"/>
      <c r="L14" s="514" t="e">
        <f ca="1">IF(AND(_xlfn.NUMBERVALUE(K15)&gt;=1,_xlfn.NUMBERVALUE(K15)&lt;=4.99),(15),IF(AND(_xlfn.NUMBERVALUE(K15)&gt;=5,_xlfn.NUMBERVALUE(K15)&lt;=9.99),(20),IF(AND(_xlfn.NUMBERVALUE(K15)&gt;=10,_xlfn.NUMBERVALUE(K15)&lt;=14.99),(25),IF(_xlfn.NUMBERVALUE(K15)&gt;=15,(30),0))))</f>
        <v>#NAME?</v>
      </c>
      <c r="M14" s="487">
        <v>25</v>
      </c>
      <c r="N14" s="518">
        <v>120000</v>
      </c>
      <c r="O14" s="517">
        <f>N14/21.67</f>
        <v>5537.6095985233032</v>
      </c>
      <c r="P14" s="546">
        <f>O14*M14</f>
        <v>138440.23996308257</v>
      </c>
    </row>
    <row r="15" spans="1:16" x14ac:dyDescent="0.2">
      <c r="A15" s="488"/>
      <c r="B15" s="500"/>
      <c r="C15" s="503"/>
      <c r="D15" s="506"/>
      <c r="E15" s="509"/>
      <c r="F15" s="494"/>
      <c r="G15" s="345">
        <f>'[2]Control  (2)'!I20</f>
        <v>44480</v>
      </c>
      <c r="H15" s="345">
        <f>'[2]Control  (2)'!J20</f>
        <v>45177</v>
      </c>
      <c r="I15" s="346" t="e">
        <f t="shared" ca="1" si="5"/>
        <v>#NAME?</v>
      </c>
      <c r="J15" s="512"/>
      <c r="K15" s="343" t="e">
        <f ca="1">+MID(J14,1,FIND("años",J14,1)-1)</f>
        <v>#NAME?</v>
      </c>
      <c r="L15" s="515"/>
      <c r="M15" s="488"/>
      <c r="N15" s="519"/>
      <c r="O15" s="517"/>
      <c r="P15" s="546"/>
    </row>
    <row r="16" spans="1:16" x14ac:dyDescent="0.2">
      <c r="A16" s="489"/>
      <c r="B16" s="501"/>
      <c r="C16" s="504"/>
      <c r="D16" s="507"/>
      <c r="E16" s="510"/>
      <c r="F16" s="495"/>
      <c r="G16" s="345">
        <f>'[2]Control  (2)'!I21</f>
        <v>41702</v>
      </c>
      <c r="H16" s="345">
        <f>'[2]Control  (2)'!J21</f>
        <v>44256</v>
      </c>
      <c r="I16" s="346" t="e">
        <f t="shared" ca="1" si="5"/>
        <v>#NAME?</v>
      </c>
      <c r="J16" s="513"/>
      <c r="K16" s="343"/>
      <c r="L16" s="516"/>
      <c r="M16" s="489"/>
      <c r="N16" s="520"/>
      <c r="O16" s="517"/>
      <c r="P16" s="546"/>
    </row>
    <row r="17" spans="1:16" ht="38.25" x14ac:dyDescent="0.2">
      <c r="A17" s="268">
        <v>11</v>
      </c>
      <c r="B17" s="388" t="s">
        <v>531</v>
      </c>
      <c r="C17" s="341" t="s">
        <v>532</v>
      </c>
      <c r="D17" s="342" t="s">
        <v>533</v>
      </c>
      <c r="E17" s="267">
        <v>44470</v>
      </c>
      <c r="F17" s="343" t="str">
        <f ca="1">DATEDIF(E17,$O$1,"y") &amp; " años " &amp;  DATEDIF(E17,$O$1,"YM") &amp; " meses " &amp;  DATEDIF(E17,$O$1,"MD") &amp; " días "</f>
        <v xml:space="preserve">2 años 3 meses 25 días </v>
      </c>
      <c r="G17" s="344"/>
      <c r="H17" s="344"/>
      <c r="I17" s="346"/>
      <c r="J17" s="347" t="str">
        <f ca="1">F17</f>
        <v xml:space="preserve">2 años 3 meses 25 días </v>
      </c>
      <c r="K17" s="343" t="str">
        <f t="shared" ca="1" si="1"/>
        <v xml:space="preserve">2 </v>
      </c>
      <c r="L17" s="389">
        <f t="shared" ca="1" si="2"/>
        <v>15</v>
      </c>
      <c r="M17" s="268">
        <v>10</v>
      </c>
      <c r="N17" s="390">
        <v>65000</v>
      </c>
      <c r="O17" s="343">
        <f t="shared" si="3"/>
        <v>2999.538532533456</v>
      </c>
      <c r="P17" s="391">
        <f t="shared" si="4"/>
        <v>29995.385325334559</v>
      </c>
    </row>
    <row r="18" spans="1:16" ht="15" x14ac:dyDescent="0.2">
      <c r="A18" s="268">
        <v>12</v>
      </c>
      <c r="B18" s="388" t="s">
        <v>534</v>
      </c>
      <c r="C18" s="341" t="s">
        <v>535</v>
      </c>
      <c r="D18" s="342" t="s">
        <v>536</v>
      </c>
      <c r="E18" s="267">
        <v>44319</v>
      </c>
      <c r="F18" s="343" t="str">
        <f ca="1">DATEDIF(E18,$O$1,"y") &amp; " años " &amp;  DATEDIF(E18,$O$1,"YM") &amp; " meses " &amp;  DATEDIF(E18,$O$1,"MD") &amp; " días "</f>
        <v xml:space="preserve">2 años 8 meses 23 días </v>
      </c>
      <c r="G18" s="344"/>
      <c r="H18" s="344"/>
      <c r="I18" s="346"/>
      <c r="J18" s="343" t="str">
        <f t="shared" ca="1" si="7"/>
        <v xml:space="preserve">2 años 8 meses 23 días </v>
      </c>
      <c r="K18" s="343" t="str">
        <f t="shared" ca="1" si="1"/>
        <v xml:space="preserve">2 </v>
      </c>
      <c r="L18" s="389">
        <f t="shared" ca="1" si="2"/>
        <v>15</v>
      </c>
      <c r="M18" s="268">
        <v>12</v>
      </c>
      <c r="N18" s="390">
        <v>25000</v>
      </c>
      <c r="O18" s="343">
        <f t="shared" si="3"/>
        <v>1153.6686663590217</v>
      </c>
      <c r="P18" s="391">
        <f t="shared" si="4"/>
        <v>13844.02399630826</v>
      </c>
    </row>
    <row r="19" spans="1:16" ht="15" x14ac:dyDescent="0.2">
      <c r="A19" s="268">
        <v>13</v>
      </c>
      <c r="B19" s="388" t="s">
        <v>537</v>
      </c>
      <c r="C19" s="341" t="s">
        <v>538</v>
      </c>
      <c r="D19" s="342" t="s">
        <v>519</v>
      </c>
      <c r="E19" s="267">
        <v>44713</v>
      </c>
      <c r="F19" s="343" t="str">
        <f ca="1">DATEDIF(E19,$O$1,"y") &amp; " años " &amp;  DATEDIF(E19,$O$1,"YM") &amp; " meses " &amp;  DATEDIF(E19,$O$1,"MD") &amp; " días "</f>
        <v xml:space="preserve">1 años 7 meses 25 días </v>
      </c>
      <c r="G19" s="344"/>
      <c r="H19" s="344"/>
      <c r="I19" s="346"/>
      <c r="J19" s="343" t="str">
        <f t="shared" ca="1" si="7"/>
        <v xml:space="preserve">1 años 7 meses 25 días </v>
      </c>
      <c r="K19" s="343" t="str">
        <f t="shared" ca="1" si="1"/>
        <v xml:space="preserve">1 </v>
      </c>
      <c r="L19" s="389">
        <f t="shared" ca="1" si="2"/>
        <v>15</v>
      </c>
      <c r="M19" s="268">
        <v>5</v>
      </c>
      <c r="N19" s="390">
        <v>20000</v>
      </c>
      <c r="O19" s="343">
        <f t="shared" si="3"/>
        <v>922.93493308721725</v>
      </c>
      <c r="P19" s="391">
        <f t="shared" si="4"/>
        <v>4614.6746654360859</v>
      </c>
    </row>
    <row r="20" spans="1:16" x14ac:dyDescent="0.2">
      <c r="A20" s="487">
        <v>14</v>
      </c>
      <c r="B20" s="499" t="s">
        <v>539</v>
      </c>
      <c r="C20" s="502" t="s">
        <v>540</v>
      </c>
      <c r="D20" s="505" t="s">
        <v>541</v>
      </c>
      <c r="E20" s="508">
        <v>44743</v>
      </c>
      <c r="F20" s="493" t="str">
        <f ca="1">DATEDIF(E20,$O$1,"y") &amp; " años " &amp;  DATEDIF(E20,$O$1,"YM") &amp; " meses " &amp;  DATEDIF(E20,$O$1,"MD") &amp; " días "</f>
        <v xml:space="preserve">1 años 6 meses 25 días </v>
      </c>
      <c r="G20" s="348">
        <v>44743</v>
      </c>
      <c r="H20" s="349">
        <f ca="1">TODAY()</f>
        <v>45317</v>
      </c>
      <c r="I20" s="346" t="e">
        <f t="shared" ca="1" si="5"/>
        <v>#NAME?</v>
      </c>
      <c r="J20" s="511" t="e">
        <f ca="1">SumAños(G20:H21)</f>
        <v>#NAME?</v>
      </c>
      <c r="K20" s="343" t="e">
        <f t="shared" ca="1" si="1"/>
        <v>#NAME?</v>
      </c>
      <c r="L20" s="514" t="e">
        <f t="shared" ca="1" si="2"/>
        <v>#NAME?</v>
      </c>
      <c r="M20" s="487">
        <v>5</v>
      </c>
      <c r="N20" s="490">
        <v>90000</v>
      </c>
      <c r="O20" s="493">
        <f t="shared" si="3"/>
        <v>4153.2071988924781</v>
      </c>
      <c r="P20" s="496">
        <f t="shared" si="4"/>
        <v>20766.035994462392</v>
      </c>
    </row>
    <row r="21" spans="1:16" x14ac:dyDescent="0.2">
      <c r="A21" s="489"/>
      <c r="B21" s="501"/>
      <c r="C21" s="504"/>
      <c r="D21" s="507"/>
      <c r="E21" s="510"/>
      <c r="F21" s="495"/>
      <c r="G21" s="348">
        <v>44105</v>
      </c>
      <c r="H21" s="348">
        <v>44742</v>
      </c>
      <c r="I21" s="346" t="e">
        <f t="shared" ca="1" si="5"/>
        <v>#NAME?</v>
      </c>
      <c r="J21" s="513"/>
      <c r="K21" s="343"/>
      <c r="L21" s="516"/>
      <c r="M21" s="489"/>
      <c r="N21" s="492"/>
      <c r="O21" s="495"/>
      <c r="P21" s="498"/>
    </row>
    <row r="22" spans="1:16" ht="15" x14ac:dyDescent="0.2">
      <c r="A22" s="268">
        <v>15</v>
      </c>
      <c r="B22" s="388" t="s">
        <v>542</v>
      </c>
      <c r="C22" s="341" t="s">
        <v>543</v>
      </c>
      <c r="D22" s="342" t="s">
        <v>516</v>
      </c>
      <c r="E22" s="267">
        <v>43556</v>
      </c>
      <c r="F22" s="343" t="str">
        <f t="shared" ref="F22:F29" ca="1" si="8">DATEDIF(E22,$O$1,"y") &amp; " años " &amp;  DATEDIF(E22,$O$1,"YM") &amp; " meses " &amp;  DATEDIF(E22,$O$1,"MD") &amp; " días "</f>
        <v xml:space="preserve">4 años 9 meses 25 días </v>
      </c>
      <c r="G22" s="344"/>
      <c r="H22" s="344"/>
      <c r="I22" s="346"/>
      <c r="J22" s="343" t="str">
        <f t="shared" ca="1" si="7"/>
        <v xml:space="preserve">4 años 9 meses 25 días </v>
      </c>
      <c r="K22" s="343" t="str">
        <f t="shared" ca="1" si="1"/>
        <v xml:space="preserve">4 </v>
      </c>
      <c r="L22" s="389">
        <f t="shared" ca="1" si="2"/>
        <v>15</v>
      </c>
      <c r="M22" s="268">
        <v>10</v>
      </c>
      <c r="N22" s="390">
        <v>60000</v>
      </c>
      <c r="O22" s="343">
        <f t="shared" si="3"/>
        <v>2768.8047992616516</v>
      </c>
      <c r="P22" s="391">
        <f t="shared" si="4"/>
        <v>27688.047992616517</v>
      </c>
    </row>
    <row r="23" spans="1:16" ht="25.5" x14ac:dyDescent="0.2">
      <c r="A23" s="268">
        <v>16</v>
      </c>
      <c r="B23" s="388" t="s">
        <v>544</v>
      </c>
      <c r="C23" s="341" t="s">
        <v>545</v>
      </c>
      <c r="D23" s="342" t="s">
        <v>546</v>
      </c>
      <c r="E23" s="267">
        <v>38231</v>
      </c>
      <c r="F23" s="343" t="str">
        <f t="shared" ca="1" si="8"/>
        <v xml:space="preserve">19 años 4 meses 25 días </v>
      </c>
      <c r="G23" s="344"/>
      <c r="H23" s="344"/>
      <c r="I23" s="346"/>
      <c r="J23" s="343" t="str">
        <f t="shared" ca="1" si="7"/>
        <v xml:space="preserve">19 años 4 meses 25 días </v>
      </c>
      <c r="K23" s="343" t="str">
        <f t="shared" ca="1" si="1"/>
        <v xml:space="preserve">19 </v>
      </c>
      <c r="L23" s="389">
        <f t="shared" ca="1" si="2"/>
        <v>30</v>
      </c>
      <c r="M23" s="268">
        <v>50</v>
      </c>
      <c r="N23" s="390">
        <v>81300</v>
      </c>
      <c r="O23" s="343">
        <f t="shared" si="3"/>
        <v>3751.7305029995382</v>
      </c>
      <c r="P23" s="391">
        <f t="shared" si="4"/>
        <v>187586.52514997692</v>
      </c>
    </row>
    <row r="24" spans="1:16" ht="15" x14ac:dyDescent="0.2">
      <c r="A24" s="268">
        <v>17</v>
      </c>
      <c r="B24" s="388" t="s">
        <v>547</v>
      </c>
      <c r="C24" s="341" t="s">
        <v>548</v>
      </c>
      <c r="D24" s="342" t="s">
        <v>536</v>
      </c>
      <c r="E24" s="267">
        <v>44958</v>
      </c>
      <c r="F24" s="343" t="str">
        <f t="shared" ca="1" si="8"/>
        <v xml:space="preserve">0 años 11 meses 25 días </v>
      </c>
      <c r="G24" s="344"/>
      <c r="H24" s="344"/>
      <c r="I24" s="346"/>
      <c r="J24" s="343" t="str">
        <f t="shared" ca="1" si="7"/>
        <v xml:space="preserve">0 años 11 meses 25 días </v>
      </c>
      <c r="K24" s="343" t="str">
        <f t="shared" ca="1" si="1"/>
        <v xml:space="preserve">0 </v>
      </c>
      <c r="L24" s="389">
        <f t="shared" ca="1" si="2"/>
        <v>0</v>
      </c>
      <c r="M24" s="268">
        <v>10</v>
      </c>
      <c r="N24" s="390">
        <v>25000</v>
      </c>
      <c r="O24" s="393">
        <f t="shared" si="3"/>
        <v>1153.6686663590217</v>
      </c>
      <c r="P24" s="391">
        <f t="shared" si="4"/>
        <v>11536.686663590217</v>
      </c>
    </row>
    <row r="25" spans="1:16" ht="15" x14ac:dyDescent="0.2">
      <c r="A25" s="268">
        <v>18</v>
      </c>
      <c r="B25" s="388" t="s">
        <v>549</v>
      </c>
      <c r="C25" s="341" t="s">
        <v>550</v>
      </c>
      <c r="D25" s="342" t="s">
        <v>364</v>
      </c>
      <c r="E25" s="267">
        <v>43647</v>
      </c>
      <c r="F25" s="343" t="str">
        <f t="shared" ca="1" si="8"/>
        <v xml:space="preserve">4 años 6 meses 25 días </v>
      </c>
      <c r="G25" s="344"/>
      <c r="H25" s="344"/>
      <c r="I25" s="346"/>
      <c r="J25" s="343" t="str">
        <f t="shared" ca="1" si="7"/>
        <v xml:space="preserve">4 años 6 meses 25 días </v>
      </c>
      <c r="K25" s="343" t="str">
        <f t="shared" ca="1" si="1"/>
        <v xml:space="preserve">4 </v>
      </c>
      <c r="L25" s="389">
        <f t="shared" ca="1" si="2"/>
        <v>15</v>
      </c>
      <c r="M25" s="268">
        <v>21</v>
      </c>
      <c r="N25" s="390">
        <v>80000</v>
      </c>
      <c r="O25" s="343">
        <f t="shared" si="3"/>
        <v>3691.739732348869</v>
      </c>
      <c r="P25" s="391">
        <f t="shared" si="4"/>
        <v>77526.534379326244</v>
      </c>
    </row>
    <row r="26" spans="1:16" ht="25.5" x14ac:dyDescent="0.2">
      <c r="A26" s="268">
        <v>19</v>
      </c>
      <c r="B26" s="388" t="s">
        <v>551</v>
      </c>
      <c r="C26" s="341" t="s">
        <v>552</v>
      </c>
      <c r="D26" s="342" t="s">
        <v>553</v>
      </c>
      <c r="E26" s="267">
        <v>38231</v>
      </c>
      <c r="F26" s="343" t="str">
        <f t="shared" ca="1" si="8"/>
        <v xml:space="preserve">19 años 4 meses 25 días </v>
      </c>
      <c r="G26" s="344"/>
      <c r="H26" s="344"/>
      <c r="I26" s="346"/>
      <c r="J26" s="343" t="str">
        <f t="shared" ca="1" si="7"/>
        <v xml:space="preserve">19 años 4 meses 25 días </v>
      </c>
      <c r="K26" s="343" t="str">
        <f t="shared" ca="1" si="1"/>
        <v xml:space="preserve">19 </v>
      </c>
      <c r="L26" s="389">
        <f t="shared" ca="1" si="2"/>
        <v>30</v>
      </c>
      <c r="M26" s="268">
        <v>5</v>
      </c>
      <c r="N26" s="390">
        <v>90000</v>
      </c>
      <c r="O26" s="343">
        <f t="shared" si="3"/>
        <v>4153.2071988924781</v>
      </c>
      <c r="P26" s="391">
        <f t="shared" si="4"/>
        <v>20766.035994462392</v>
      </c>
    </row>
    <row r="27" spans="1:16" ht="25.5" x14ac:dyDescent="0.2">
      <c r="A27" s="268">
        <v>20</v>
      </c>
      <c r="B27" s="388" t="s">
        <v>554</v>
      </c>
      <c r="C27" s="341" t="s">
        <v>555</v>
      </c>
      <c r="D27" s="342" t="s">
        <v>556</v>
      </c>
      <c r="E27" s="267">
        <v>44095</v>
      </c>
      <c r="F27" s="343" t="str">
        <f t="shared" ca="1" si="8"/>
        <v xml:space="preserve">3 años 4 meses 5 días </v>
      </c>
      <c r="G27" s="344"/>
      <c r="H27" s="344"/>
      <c r="I27" s="346"/>
      <c r="J27" s="343" t="str">
        <f t="shared" ca="1" si="7"/>
        <v xml:space="preserve">3 años 4 meses 5 días </v>
      </c>
      <c r="K27" s="343" t="str">
        <f t="shared" ca="1" si="1"/>
        <v xml:space="preserve">3 </v>
      </c>
      <c r="L27" s="389">
        <f t="shared" ca="1" si="2"/>
        <v>15</v>
      </c>
      <c r="M27" s="268">
        <v>11</v>
      </c>
      <c r="N27" s="390">
        <v>30000</v>
      </c>
      <c r="O27" s="343">
        <f t="shared" si="3"/>
        <v>1384.4023996308258</v>
      </c>
      <c r="P27" s="391">
        <f t="shared" si="4"/>
        <v>15228.426395939085</v>
      </c>
    </row>
    <row r="28" spans="1:16" ht="15" x14ac:dyDescent="0.2">
      <c r="A28" s="268">
        <v>21</v>
      </c>
      <c r="B28" s="388" t="s">
        <v>557</v>
      </c>
      <c r="C28" s="341" t="s">
        <v>558</v>
      </c>
      <c r="D28" s="342" t="s">
        <v>559</v>
      </c>
      <c r="E28" s="267">
        <v>41852</v>
      </c>
      <c r="F28" s="343" t="str">
        <f t="shared" ca="1" si="8"/>
        <v xml:space="preserve">9 años 5 meses 25 días </v>
      </c>
      <c r="G28" s="344"/>
      <c r="H28" s="344"/>
      <c r="I28" s="346"/>
      <c r="J28" s="343" t="str">
        <f t="shared" ca="1" si="7"/>
        <v xml:space="preserve">9 años 5 meses 25 días </v>
      </c>
      <c r="K28" s="343" t="str">
        <f t="shared" ca="1" si="1"/>
        <v xml:space="preserve">9 </v>
      </c>
      <c r="L28" s="389">
        <f t="shared" ca="1" si="2"/>
        <v>20</v>
      </c>
      <c r="M28" s="268">
        <v>35</v>
      </c>
      <c r="N28" s="390">
        <v>45000</v>
      </c>
      <c r="O28" s="343">
        <f t="shared" si="3"/>
        <v>2076.6035994462391</v>
      </c>
      <c r="P28" s="391">
        <f t="shared" si="4"/>
        <v>72681.125980618366</v>
      </c>
    </row>
    <row r="29" spans="1:16" ht="15" x14ac:dyDescent="0.25">
      <c r="A29" s="487">
        <v>22</v>
      </c>
      <c r="B29" s="499" t="s">
        <v>560</v>
      </c>
      <c r="C29" s="502" t="s">
        <v>561</v>
      </c>
      <c r="D29" s="505" t="s">
        <v>536</v>
      </c>
      <c r="E29" s="525">
        <v>41312</v>
      </c>
      <c r="F29" s="493" t="str">
        <f t="shared" ca="1" si="8"/>
        <v xml:space="preserve">10 años 11 meses 19 días </v>
      </c>
      <c r="G29" s="350">
        <v>41312</v>
      </c>
      <c r="H29" s="350">
        <f ca="1">TODAY()</f>
        <v>45317</v>
      </c>
      <c r="I29" s="346" t="e">
        <f ca="1">SumAños(G29:H29)</f>
        <v>#NAME?</v>
      </c>
      <c r="J29" s="522" t="e">
        <f ca="1">SumAños(G29:H31)</f>
        <v>#NAME?</v>
      </c>
      <c r="K29" s="343" t="e">
        <f>+MID(#REF!,1,FIND("años",#REF!,1)-1)</f>
        <v>#REF!</v>
      </c>
      <c r="L29" s="523" t="e">
        <f ca="1">IF(AND(_xlfn.NUMBERVALUE(K30)&gt;=1,_xlfn.NUMBERVALUE(K30)&lt;=4.99),(15),IF(AND(_xlfn.NUMBERVALUE(K30)&gt;=5,_xlfn.NUMBERVALUE(K30)&lt;=9.99),(20),IF(AND(_xlfn.NUMBERVALUE(K30)&gt;=10,_xlfn.NUMBERVALUE(K30)&lt;=14.99),(25),IF(_xlfn.NUMBERVALUE(K30)&gt;=15,(30),0))))</f>
        <v>#NAME?</v>
      </c>
      <c r="M29" s="487">
        <v>10</v>
      </c>
      <c r="N29" s="524">
        <v>28400</v>
      </c>
      <c r="O29" s="521">
        <f>N29/21.67</f>
        <v>1310.5676049838485</v>
      </c>
      <c r="P29" s="546">
        <f>O29*M29</f>
        <v>13105.676049838485</v>
      </c>
    </row>
    <row r="30" spans="1:16" ht="15" x14ac:dyDescent="0.25">
      <c r="A30" s="488"/>
      <c r="B30" s="500"/>
      <c r="C30" s="503"/>
      <c r="D30" s="506"/>
      <c r="E30" s="526"/>
      <c r="F30" s="494"/>
      <c r="G30" s="350">
        <v>41030</v>
      </c>
      <c r="H30" s="350">
        <v>41311</v>
      </c>
      <c r="I30" s="346" t="e">
        <f ca="1">SumAños(G30:H30)</f>
        <v>#NAME?</v>
      </c>
      <c r="J30" s="522"/>
      <c r="K30" s="343" t="e">
        <f ca="1">+MID(J29,1,FIND("años",J29,1)-1)</f>
        <v>#NAME?</v>
      </c>
      <c r="L30" s="523"/>
      <c r="M30" s="488"/>
      <c r="N30" s="524"/>
      <c r="O30" s="521"/>
      <c r="P30" s="546"/>
    </row>
    <row r="31" spans="1:16" ht="15" x14ac:dyDescent="0.25">
      <c r="A31" s="489"/>
      <c r="B31" s="501"/>
      <c r="C31" s="504"/>
      <c r="D31" s="507"/>
      <c r="E31" s="527"/>
      <c r="F31" s="495"/>
      <c r="G31" s="350">
        <v>38869</v>
      </c>
      <c r="H31" s="350">
        <v>40999</v>
      </c>
      <c r="I31" s="346" t="e">
        <f ca="1">SumAños(G31:H31)</f>
        <v>#NAME?</v>
      </c>
      <c r="J31" s="522"/>
      <c r="K31" s="343"/>
      <c r="L31" s="523"/>
      <c r="M31" s="489"/>
      <c r="N31" s="524"/>
      <c r="O31" s="521"/>
      <c r="P31" s="546"/>
    </row>
    <row r="32" spans="1:16" ht="38.25" x14ac:dyDescent="0.2">
      <c r="A32" s="268">
        <v>23</v>
      </c>
      <c r="B32" s="388" t="s">
        <v>562</v>
      </c>
      <c r="C32" s="341" t="s">
        <v>563</v>
      </c>
      <c r="D32" s="342" t="s">
        <v>564</v>
      </c>
      <c r="E32" s="267">
        <v>38687</v>
      </c>
      <c r="F32" s="343" t="str">
        <f t="shared" ref="F32:F37" ca="1" si="9">DATEDIF(E32,$O$1,"y") &amp; " años " &amp;  DATEDIF(E32,$O$1,"YM") &amp; " meses " &amp;  DATEDIF(E32,$O$1,"MD") &amp; " días "</f>
        <v xml:space="preserve">18 años 1 meses 25 días </v>
      </c>
      <c r="G32" s="344"/>
      <c r="H32" s="344"/>
      <c r="I32" s="346"/>
      <c r="J32" s="343" t="str">
        <f t="shared" ca="1" si="7"/>
        <v xml:space="preserve">18 años 1 meses 25 días </v>
      </c>
      <c r="K32" s="343" t="str">
        <f t="shared" ca="1" si="1"/>
        <v xml:space="preserve">18 </v>
      </c>
      <c r="L32" s="389">
        <f t="shared" ca="1" si="2"/>
        <v>30</v>
      </c>
      <c r="M32" s="268">
        <v>49</v>
      </c>
      <c r="N32" s="390">
        <v>110000</v>
      </c>
      <c r="O32" s="343">
        <f t="shared" si="3"/>
        <v>5076.1421319796955</v>
      </c>
      <c r="P32" s="391">
        <f t="shared" si="4"/>
        <v>248730.96446700508</v>
      </c>
    </row>
    <row r="33" spans="1:16" ht="15" x14ac:dyDescent="0.2">
      <c r="A33" s="268">
        <v>24</v>
      </c>
      <c r="B33" s="388" t="s">
        <v>853</v>
      </c>
      <c r="C33" s="341" t="s">
        <v>565</v>
      </c>
      <c r="D33" s="342" t="s">
        <v>566</v>
      </c>
      <c r="E33" s="267">
        <v>44470</v>
      </c>
      <c r="F33" s="343" t="str">
        <f t="shared" ca="1" si="9"/>
        <v xml:space="preserve">2 años 3 meses 25 días </v>
      </c>
      <c r="G33" s="344"/>
      <c r="H33" s="344"/>
      <c r="I33" s="346"/>
      <c r="J33" s="343" t="str">
        <f t="shared" ca="1" si="7"/>
        <v xml:space="preserve">2 años 3 meses 25 días </v>
      </c>
      <c r="K33" s="343" t="str">
        <f t="shared" ca="1" si="1"/>
        <v xml:space="preserve">2 </v>
      </c>
      <c r="L33" s="389">
        <f t="shared" ca="1" si="2"/>
        <v>15</v>
      </c>
      <c r="M33" s="268">
        <v>5</v>
      </c>
      <c r="N33" s="390">
        <v>65000</v>
      </c>
      <c r="O33" s="343">
        <f t="shared" si="3"/>
        <v>2999.538532533456</v>
      </c>
      <c r="P33" s="391">
        <f t="shared" si="4"/>
        <v>14997.692662667279</v>
      </c>
    </row>
    <row r="34" spans="1:16" ht="25.5" x14ac:dyDescent="0.2">
      <c r="A34" s="268">
        <v>25</v>
      </c>
      <c r="B34" s="388" t="s">
        <v>567</v>
      </c>
      <c r="C34" s="341" t="s">
        <v>568</v>
      </c>
      <c r="D34" s="342" t="s">
        <v>556</v>
      </c>
      <c r="E34" s="267">
        <v>42278</v>
      </c>
      <c r="F34" s="343" t="str">
        <f t="shared" ca="1" si="9"/>
        <v xml:space="preserve">8 años 3 meses 25 días </v>
      </c>
      <c r="G34" s="344"/>
      <c r="H34" s="344"/>
      <c r="I34" s="346"/>
      <c r="J34" s="343" t="str">
        <f t="shared" ca="1" si="7"/>
        <v xml:space="preserve">8 años 3 meses 25 días </v>
      </c>
      <c r="K34" s="343" t="str">
        <f t="shared" ca="1" si="1"/>
        <v xml:space="preserve">8 </v>
      </c>
      <c r="L34" s="389">
        <f t="shared" ca="1" si="2"/>
        <v>20</v>
      </c>
      <c r="M34" s="268">
        <v>16</v>
      </c>
      <c r="N34" s="390">
        <v>30000</v>
      </c>
      <c r="O34" s="343">
        <f t="shared" si="3"/>
        <v>1384.4023996308258</v>
      </c>
      <c r="P34" s="391">
        <f t="shared" si="4"/>
        <v>22150.438394093213</v>
      </c>
    </row>
    <row r="35" spans="1:16" ht="25.5" x14ac:dyDescent="0.2">
      <c r="A35" s="268">
        <v>26</v>
      </c>
      <c r="B35" s="388" t="s">
        <v>854</v>
      </c>
      <c r="C35" s="341" t="s">
        <v>569</v>
      </c>
      <c r="D35" s="342" t="s">
        <v>526</v>
      </c>
      <c r="E35" s="267">
        <v>39995</v>
      </c>
      <c r="F35" s="343" t="str">
        <f t="shared" ca="1" si="9"/>
        <v xml:space="preserve">14 años 6 meses 25 días </v>
      </c>
      <c r="G35" s="344"/>
      <c r="H35" s="344"/>
      <c r="I35" s="346"/>
      <c r="J35" s="343" t="str">
        <f t="shared" ca="1" si="7"/>
        <v xml:space="preserve">14 años 6 meses 25 días </v>
      </c>
      <c r="K35" s="343" t="str">
        <f t="shared" ca="1" si="1"/>
        <v xml:space="preserve">14 </v>
      </c>
      <c r="L35" s="389">
        <f t="shared" ca="1" si="2"/>
        <v>25</v>
      </c>
      <c r="M35" s="268">
        <v>35</v>
      </c>
      <c r="N35" s="390">
        <v>75000</v>
      </c>
      <c r="O35" s="343">
        <f t="shared" si="3"/>
        <v>3461.0059990770646</v>
      </c>
      <c r="P35" s="391">
        <f t="shared" si="4"/>
        <v>121135.20996769726</v>
      </c>
    </row>
    <row r="36" spans="1:16" ht="25.5" x14ac:dyDescent="0.2">
      <c r="A36" s="268">
        <v>27</v>
      </c>
      <c r="B36" s="388" t="s">
        <v>570</v>
      </c>
      <c r="C36" s="341" t="s">
        <v>571</v>
      </c>
      <c r="D36" s="342" t="s">
        <v>572</v>
      </c>
      <c r="E36" s="267">
        <v>40603</v>
      </c>
      <c r="F36" s="343" t="str">
        <f t="shared" ca="1" si="9"/>
        <v xml:space="preserve">12 años 10 meses 25 días </v>
      </c>
      <c r="G36" s="344"/>
      <c r="H36" s="344"/>
      <c r="I36" s="346"/>
      <c r="J36" s="343" t="str">
        <f t="shared" ca="1" si="7"/>
        <v xml:space="preserve">12 años 10 meses 25 días </v>
      </c>
      <c r="K36" s="343" t="str">
        <f t="shared" ca="1" si="1"/>
        <v xml:space="preserve">12 </v>
      </c>
      <c r="L36" s="389">
        <f t="shared" ca="1" si="2"/>
        <v>25</v>
      </c>
      <c r="M36" s="268">
        <v>15</v>
      </c>
      <c r="N36" s="390">
        <v>62500</v>
      </c>
      <c r="O36" s="343">
        <f t="shared" si="3"/>
        <v>2884.1716658975538</v>
      </c>
      <c r="P36" s="391">
        <f t="shared" si="4"/>
        <v>43262.574988463304</v>
      </c>
    </row>
    <row r="37" spans="1:16" ht="15" x14ac:dyDescent="0.25">
      <c r="A37" s="487">
        <v>28</v>
      </c>
      <c r="B37" s="499" t="s">
        <v>573</v>
      </c>
      <c r="C37" s="502" t="s">
        <v>574</v>
      </c>
      <c r="D37" s="505" t="s">
        <v>519</v>
      </c>
      <c r="E37" s="508">
        <v>43782</v>
      </c>
      <c r="F37" s="493" t="str">
        <f t="shared" ca="1" si="9"/>
        <v xml:space="preserve">4 años 2 meses 13 días </v>
      </c>
      <c r="G37" s="350">
        <v>43782</v>
      </c>
      <c r="H37" s="350">
        <f ca="1">TODAY()</f>
        <v>45317</v>
      </c>
      <c r="I37" s="346" t="e">
        <f t="shared" ca="1" si="5"/>
        <v>#NAME?</v>
      </c>
      <c r="J37" s="511" t="e">
        <f ca="1">SumAños(G37:H38)</f>
        <v>#NAME?</v>
      </c>
      <c r="K37" s="343" t="e">
        <f t="shared" ca="1" si="1"/>
        <v>#NAME?</v>
      </c>
      <c r="L37" s="514" t="e">
        <f t="shared" ca="1" si="2"/>
        <v>#NAME?</v>
      </c>
      <c r="M37" s="487">
        <v>21</v>
      </c>
      <c r="N37" s="490">
        <v>21300</v>
      </c>
      <c r="O37" s="493">
        <f t="shared" si="3"/>
        <v>982.92570373788635</v>
      </c>
      <c r="P37" s="496">
        <f t="shared" si="4"/>
        <v>20641.439778495613</v>
      </c>
    </row>
    <row r="38" spans="1:16" ht="15" x14ac:dyDescent="0.25">
      <c r="A38" s="489"/>
      <c r="B38" s="501"/>
      <c r="C38" s="504"/>
      <c r="D38" s="507"/>
      <c r="E38" s="510"/>
      <c r="F38" s="495"/>
      <c r="G38" s="350">
        <v>39965</v>
      </c>
      <c r="H38" s="350">
        <v>43709</v>
      </c>
      <c r="I38" s="346" t="e">
        <f t="shared" ca="1" si="5"/>
        <v>#NAME?</v>
      </c>
      <c r="J38" s="513"/>
      <c r="K38" s="343"/>
      <c r="L38" s="516"/>
      <c r="M38" s="489"/>
      <c r="N38" s="492"/>
      <c r="O38" s="495"/>
      <c r="P38" s="498"/>
    </row>
    <row r="39" spans="1:16" ht="15" x14ac:dyDescent="0.25">
      <c r="A39" s="487">
        <v>30</v>
      </c>
      <c r="B39" s="499" t="s">
        <v>575</v>
      </c>
      <c r="C39" s="502" t="s">
        <v>576</v>
      </c>
      <c r="D39" s="505" t="s">
        <v>507</v>
      </c>
      <c r="E39" s="508">
        <v>44197</v>
      </c>
      <c r="F39" s="530" t="str">
        <f ca="1">DATEDIF(E39,$O$1,"y") &amp; " años " &amp;  DATEDIF(E39,$O$1,"YM") &amp; " meses " &amp;  DATEDIF(E39,$O$1,"MD") &amp; " días "</f>
        <v xml:space="preserve">3 años 0 meses 25 días </v>
      </c>
      <c r="G39" s="350">
        <v>44197</v>
      </c>
      <c r="H39" s="350">
        <f ca="1">TODAY()</f>
        <v>45317</v>
      </c>
      <c r="I39" s="351" t="e">
        <f ca="1">SumAños(G39:H39)</f>
        <v>#NAME?</v>
      </c>
      <c r="J39" s="532" t="e">
        <f ca="1">SumAños(G39:H40)</f>
        <v>#NAME?</v>
      </c>
      <c r="K39" s="393" t="e">
        <f>+MID(#REF!,1,FIND("años",#REF!,1)-1)</f>
        <v>#REF!</v>
      </c>
      <c r="L39" s="533" t="e">
        <f ca="1">IF(AND(_xlfn.NUMBERVALUE(K40)&gt;=1,_xlfn.NUMBERVALUE(K40)&lt;=4.99),(15),IF(AND(_xlfn.NUMBERVALUE(K40)&gt;=5,_xlfn.NUMBERVALUE(K40)&lt;=9.99),(20),IF(AND(_xlfn.NUMBERVALUE(K40)&gt;=10,_xlfn.NUMBERVALUE(K40)&lt;=14.99),(25),IF(_xlfn.NUMBERVALUE(K40)&gt;=15,(30),0))))</f>
        <v>#NAME?</v>
      </c>
      <c r="M39" s="487">
        <v>29</v>
      </c>
      <c r="N39" s="524">
        <v>120000</v>
      </c>
      <c r="O39" s="528">
        <f>N39/21.67</f>
        <v>5537.6095985233032</v>
      </c>
      <c r="P39" s="496">
        <f>O39*M39</f>
        <v>160590.67835717578</v>
      </c>
    </row>
    <row r="40" spans="1:16" ht="15" x14ac:dyDescent="0.25">
      <c r="A40" s="488"/>
      <c r="B40" s="500"/>
      <c r="C40" s="503"/>
      <c r="D40" s="506"/>
      <c r="E40" s="509"/>
      <c r="F40" s="531"/>
      <c r="G40" s="350">
        <v>39714</v>
      </c>
      <c r="H40" s="350">
        <v>44195</v>
      </c>
      <c r="I40" s="351" t="e">
        <f ca="1">SumAños(G40:H40)</f>
        <v>#NAME?</v>
      </c>
      <c r="J40" s="532"/>
      <c r="K40" s="393" t="e">
        <f ca="1">+MID(J39,1,FIND("años",J39,1)-1)</f>
        <v>#NAME?</v>
      </c>
      <c r="L40" s="534"/>
      <c r="M40" s="489"/>
      <c r="N40" s="524"/>
      <c r="O40" s="529"/>
      <c r="P40" s="498"/>
    </row>
    <row r="41" spans="1:16" ht="15" x14ac:dyDescent="0.25">
      <c r="A41" s="487">
        <v>31</v>
      </c>
      <c r="B41" s="499" t="s">
        <v>577</v>
      </c>
      <c r="C41" s="502" t="s">
        <v>578</v>
      </c>
      <c r="D41" s="505" t="s">
        <v>362</v>
      </c>
      <c r="E41" s="508">
        <v>44263</v>
      </c>
      <c r="F41" s="493" t="str">
        <f ca="1">DATEDIF(E41,$O$1,"y") &amp; " años " &amp;  DATEDIF(E41,$O$1,"YM") &amp; " meses " &amp;  DATEDIF(E41,$O$1,"MD") &amp; " días "</f>
        <v xml:space="preserve">2 años 10 meses 18 días </v>
      </c>
      <c r="G41" s="350">
        <v>44263</v>
      </c>
      <c r="H41" s="350">
        <f ca="1">TODAY()</f>
        <v>45317</v>
      </c>
      <c r="I41" s="346" t="e">
        <f ca="1">SumAños(G41:H41)</f>
        <v>#NAME?</v>
      </c>
      <c r="J41" s="511" t="e">
        <f ca="1">SumAños(G41:H42)</f>
        <v>#NAME?</v>
      </c>
      <c r="K41" s="343" t="e">
        <f t="shared" ca="1" si="1"/>
        <v>#NAME?</v>
      </c>
      <c r="L41" s="514" t="e">
        <f t="shared" ca="1" si="2"/>
        <v>#NAME?</v>
      </c>
      <c r="M41" s="487">
        <v>0</v>
      </c>
      <c r="N41" s="490">
        <v>120000</v>
      </c>
      <c r="O41" s="493">
        <f t="shared" si="3"/>
        <v>5537.6095985233032</v>
      </c>
      <c r="P41" s="496">
        <f t="shared" si="4"/>
        <v>0</v>
      </c>
    </row>
    <row r="42" spans="1:16" ht="15" x14ac:dyDescent="0.25">
      <c r="A42" s="489"/>
      <c r="B42" s="501"/>
      <c r="C42" s="504"/>
      <c r="D42" s="507"/>
      <c r="E42" s="510"/>
      <c r="F42" s="495"/>
      <c r="G42" s="350">
        <v>29868</v>
      </c>
      <c r="H42" s="350">
        <v>31471</v>
      </c>
      <c r="I42" s="346" t="e">
        <f t="shared" ca="1" si="5"/>
        <v>#NAME?</v>
      </c>
      <c r="J42" s="513"/>
      <c r="K42" s="343"/>
      <c r="L42" s="516"/>
      <c r="M42" s="489"/>
      <c r="N42" s="492"/>
      <c r="O42" s="495"/>
      <c r="P42" s="498"/>
    </row>
    <row r="43" spans="1:16" ht="25.5" x14ac:dyDescent="0.2">
      <c r="A43" s="268">
        <v>32</v>
      </c>
      <c r="B43" s="388" t="s">
        <v>579</v>
      </c>
      <c r="C43" s="341" t="s">
        <v>580</v>
      </c>
      <c r="D43" s="342" t="s">
        <v>581</v>
      </c>
      <c r="E43" s="267">
        <v>38231</v>
      </c>
      <c r="F43" s="343" t="str">
        <f ca="1">DATEDIF(E43,$O$1,"y") &amp; " años " &amp;  DATEDIF(E43,$O$1,"YM") &amp; " meses " &amp;  DATEDIF(E43,$O$1,"MD") &amp; " días "</f>
        <v xml:space="preserve">19 años 4 meses 25 días </v>
      </c>
      <c r="G43" s="344"/>
      <c r="H43" s="344"/>
      <c r="I43" s="346"/>
      <c r="J43" s="343" t="str">
        <f t="shared" ca="1" si="7"/>
        <v xml:space="preserve">19 años 4 meses 25 días </v>
      </c>
      <c r="K43" s="343" t="str">
        <f t="shared" ca="1" si="1"/>
        <v xml:space="preserve">19 </v>
      </c>
      <c r="L43" s="389">
        <f t="shared" ca="1" si="2"/>
        <v>30</v>
      </c>
      <c r="M43" s="268">
        <v>16</v>
      </c>
      <c r="N43" s="390">
        <v>45000</v>
      </c>
      <c r="O43" s="343">
        <f t="shared" si="3"/>
        <v>2076.6035994462391</v>
      </c>
      <c r="P43" s="391">
        <f t="shared" si="4"/>
        <v>33225.657591139825</v>
      </c>
    </row>
    <row r="44" spans="1:16" ht="15" x14ac:dyDescent="0.2">
      <c r="A44" s="268">
        <v>33</v>
      </c>
      <c r="B44" s="388" t="s">
        <v>582</v>
      </c>
      <c r="C44" s="341" t="s">
        <v>363</v>
      </c>
      <c r="D44" s="342" t="s">
        <v>364</v>
      </c>
      <c r="E44" s="267">
        <v>44123</v>
      </c>
      <c r="F44" s="343" t="str">
        <f ca="1">DATEDIF(E44,$O$1,"y") &amp; " años " &amp;  DATEDIF(E44,$O$1,"YM") &amp; " meses " &amp;  DATEDIF(E44,$O$1,"MD") &amp; " días "</f>
        <v xml:space="preserve">3 años 3 meses 7 días </v>
      </c>
      <c r="G44" s="344"/>
      <c r="H44" s="344"/>
      <c r="I44" s="346"/>
      <c r="J44" s="343" t="str">
        <f t="shared" ca="1" si="7"/>
        <v xml:space="preserve">3 años 3 meses 7 días </v>
      </c>
      <c r="K44" s="343" t="str">
        <f t="shared" ca="1" si="1"/>
        <v xml:space="preserve">3 </v>
      </c>
      <c r="L44" s="389">
        <f t="shared" ca="1" si="2"/>
        <v>15</v>
      </c>
      <c r="M44" s="268">
        <v>14</v>
      </c>
      <c r="N44" s="390">
        <v>80000</v>
      </c>
      <c r="O44" s="343">
        <f t="shared" si="3"/>
        <v>3691.739732348869</v>
      </c>
      <c r="P44" s="391">
        <f t="shared" si="4"/>
        <v>51684.356252884165</v>
      </c>
    </row>
    <row r="45" spans="1:16" ht="25.5" x14ac:dyDescent="0.2">
      <c r="A45" s="268">
        <v>34</v>
      </c>
      <c r="B45" s="388" t="s">
        <v>583</v>
      </c>
      <c r="C45" s="341" t="s">
        <v>584</v>
      </c>
      <c r="D45" s="342" t="s">
        <v>585</v>
      </c>
      <c r="E45" s="267">
        <v>44652</v>
      </c>
      <c r="F45" s="343" t="str">
        <f ca="1">DATEDIF(E45,$O$1,"y") &amp; " años " &amp;  DATEDIF(E45,$O$1,"YM") &amp; " meses " &amp;  DATEDIF(E45,$O$1,"MD") &amp; " días "</f>
        <v xml:space="preserve">1 años 9 meses 25 días </v>
      </c>
      <c r="G45" s="344"/>
      <c r="H45" s="344"/>
      <c r="I45" s="346"/>
      <c r="J45" s="343" t="str">
        <f t="shared" ca="1" si="7"/>
        <v xml:space="preserve">1 años 9 meses 25 días </v>
      </c>
      <c r="K45" s="343" t="str">
        <f t="shared" ca="1" si="1"/>
        <v xml:space="preserve">1 </v>
      </c>
      <c r="L45" s="389">
        <f t="shared" ca="1" si="2"/>
        <v>15</v>
      </c>
      <c r="M45" s="268">
        <v>0</v>
      </c>
      <c r="N45" s="390">
        <v>20000</v>
      </c>
      <c r="O45" s="343">
        <f t="shared" si="3"/>
        <v>922.93493308721725</v>
      </c>
      <c r="P45" s="391">
        <f t="shared" si="4"/>
        <v>0</v>
      </c>
    </row>
    <row r="46" spans="1:16" ht="25.5" x14ac:dyDescent="0.2">
      <c r="A46" s="268">
        <v>35</v>
      </c>
      <c r="B46" s="388" t="s">
        <v>586</v>
      </c>
      <c r="C46" s="341" t="s">
        <v>587</v>
      </c>
      <c r="D46" s="342" t="s">
        <v>588</v>
      </c>
      <c r="E46" s="267">
        <v>43678</v>
      </c>
      <c r="F46" s="343" t="str">
        <f ca="1">DATEDIF(E46,$O$1,"y") &amp; " años " &amp;  DATEDIF(E46,$O$1,"YM") &amp; " meses " &amp;  DATEDIF(E46,$O$1,"MD") &amp; " días "</f>
        <v xml:space="preserve">4 años 5 meses 25 días </v>
      </c>
      <c r="G46" s="344"/>
      <c r="H46" s="344"/>
      <c r="I46" s="346"/>
      <c r="J46" s="343" t="str">
        <f t="shared" ca="1" si="7"/>
        <v xml:space="preserve">4 años 5 meses 25 días </v>
      </c>
      <c r="K46" s="343" t="str">
        <f t="shared" ca="1" si="1"/>
        <v xml:space="preserve">4 </v>
      </c>
      <c r="L46" s="389">
        <f t="shared" ca="1" si="2"/>
        <v>15</v>
      </c>
      <c r="M46" s="268">
        <v>0</v>
      </c>
      <c r="N46" s="390">
        <v>60000</v>
      </c>
      <c r="O46" s="343">
        <f t="shared" si="3"/>
        <v>2768.8047992616516</v>
      </c>
      <c r="P46" s="391">
        <f t="shared" si="4"/>
        <v>0</v>
      </c>
    </row>
    <row r="47" spans="1:16" ht="15" x14ac:dyDescent="0.25">
      <c r="A47" s="487">
        <v>36</v>
      </c>
      <c r="B47" s="499" t="s">
        <v>589</v>
      </c>
      <c r="C47" s="502" t="s">
        <v>590</v>
      </c>
      <c r="D47" s="505" t="s">
        <v>519</v>
      </c>
      <c r="E47" s="508">
        <v>44312</v>
      </c>
      <c r="F47" s="493" t="str">
        <f ca="1">DATEDIF(E47,$O$1,"y") &amp; " años " &amp;  DATEDIF(E47,$O$1,"YM") &amp; " meses " &amp;  DATEDIF(E47,$O$1,"MD") &amp; " días "</f>
        <v xml:space="preserve">2 años 9 meses 0 días </v>
      </c>
      <c r="G47" s="350">
        <v>44312</v>
      </c>
      <c r="H47" s="350">
        <f ca="1">TODAY()</f>
        <v>45317</v>
      </c>
      <c r="I47" s="346" t="e">
        <f t="shared" ca="1" si="5"/>
        <v>#NAME?</v>
      </c>
      <c r="J47" s="511" t="e">
        <f ca="1">SumAños(G47:H48)</f>
        <v>#NAME?</v>
      </c>
      <c r="K47" s="343" t="e">
        <f t="shared" ca="1" si="1"/>
        <v>#NAME?</v>
      </c>
      <c r="L47" s="514" t="e">
        <f t="shared" ca="1" si="2"/>
        <v>#NAME?</v>
      </c>
      <c r="M47" s="487">
        <v>10</v>
      </c>
      <c r="N47" s="490">
        <v>21500</v>
      </c>
      <c r="O47" s="493">
        <f t="shared" si="3"/>
        <v>992.15505306875855</v>
      </c>
      <c r="P47" s="496">
        <f t="shared" si="4"/>
        <v>9921.5505306875857</v>
      </c>
    </row>
    <row r="48" spans="1:16" ht="15" x14ac:dyDescent="0.25">
      <c r="A48" s="489"/>
      <c r="B48" s="501"/>
      <c r="C48" s="504"/>
      <c r="D48" s="507"/>
      <c r="E48" s="510"/>
      <c r="F48" s="495"/>
      <c r="G48" s="350">
        <v>39160</v>
      </c>
      <c r="H48" s="350">
        <v>44135</v>
      </c>
      <c r="I48" s="346" t="e">
        <f t="shared" ca="1" si="5"/>
        <v>#NAME?</v>
      </c>
      <c r="J48" s="513"/>
      <c r="K48" s="343"/>
      <c r="L48" s="516"/>
      <c r="M48" s="489"/>
      <c r="N48" s="492"/>
      <c r="O48" s="495"/>
      <c r="P48" s="498"/>
    </row>
    <row r="49" spans="1:16" ht="15" x14ac:dyDescent="0.2">
      <c r="A49" s="268">
        <v>37</v>
      </c>
      <c r="B49" s="388" t="s">
        <v>591</v>
      </c>
      <c r="C49" s="341" t="s">
        <v>592</v>
      </c>
      <c r="D49" s="342" t="s">
        <v>536</v>
      </c>
      <c r="E49" s="267">
        <v>44713</v>
      </c>
      <c r="F49" s="343" t="str">
        <f ca="1">DATEDIF(E49,$O$1,"y") &amp; " años " &amp;  DATEDIF(E49,$O$1,"YM") &amp; " meses " &amp;  DATEDIF(E49,$O$1,"MD") &amp; " días "</f>
        <v xml:space="preserve">1 años 7 meses 25 días </v>
      </c>
      <c r="G49" s="344"/>
      <c r="H49" s="344"/>
      <c r="I49" s="346"/>
      <c r="J49" s="343" t="str">
        <f t="shared" ca="1" si="7"/>
        <v xml:space="preserve">1 años 7 meses 25 días </v>
      </c>
      <c r="K49" s="343" t="str">
        <f t="shared" ca="1" si="1"/>
        <v xml:space="preserve">1 </v>
      </c>
      <c r="L49" s="389">
        <f t="shared" ca="1" si="2"/>
        <v>15</v>
      </c>
      <c r="M49" s="268">
        <v>15</v>
      </c>
      <c r="N49" s="390">
        <v>25000</v>
      </c>
      <c r="O49" s="343">
        <f t="shared" si="3"/>
        <v>1153.6686663590217</v>
      </c>
      <c r="P49" s="391">
        <f t="shared" si="4"/>
        <v>17305.029995385325</v>
      </c>
    </row>
    <row r="50" spans="1:16" ht="15" x14ac:dyDescent="0.2">
      <c r="A50" s="268">
        <v>38</v>
      </c>
      <c r="B50" s="388" t="s">
        <v>593</v>
      </c>
      <c r="C50" s="341" t="s">
        <v>594</v>
      </c>
      <c r="D50" s="342" t="s">
        <v>362</v>
      </c>
      <c r="E50" s="267">
        <v>38615</v>
      </c>
      <c r="F50" s="343" t="str">
        <f ca="1">DATEDIF(E50,$O$1,"y") &amp; " años " &amp;  DATEDIF(E50,$O$1,"YM") &amp; " meses " &amp;  DATEDIF(E50,$O$1,"MD") &amp; " días "</f>
        <v xml:space="preserve">18 años 4 meses 6 días </v>
      </c>
      <c r="G50" s="344"/>
      <c r="H50" s="344"/>
      <c r="I50" s="346"/>
      <c r="J50" s="343" t="str">
        <f t="shared" ca="1" si="7"/>
        <v xml:space="preserve">18 años 4 meses 6 días </v>
      </c>
      <c r="K50" s="343" t="str">
        <f t="shared" ca="1" si="1"/>
        <v xml:space="preserve">18 </v>
      </c>
      <c r="L50" s="389">
        <f t="shared" ca="1" si="2"/>
        <v>30</v>
      </c>
      <c r="M50" s="268">
        <v>30</v>
      </c>
      <c r="N50" s="390">
        <v>200000</v>
      </c>
      <c r="O50" s="343">
        <f t="shared" si="3"/>
        <v>9229.3493308721736</v>
      </c>
      <c r="P50" s="391">
        <f t="shared" si="4"/>
        <v>276880.47992616519</v>
      </c>
    </row>
    <row r="51" spans="1:16" ht="15" x14ac:dyDescent="0.25">
      <c r="A51" s="487">
        <v>39</v>
      </c>
      <c r="B51" s="499" t="s">
        <v>595</v>
      </c>
      <c r="C51" s="502" t="s">
        <v>359</v>
      </c>
      <c r="D51" s="505" t="s">
        <v>360</v>
      </c>
      <c r="E51" s="508">
        <v>44110</v>
      </c>
      <c r="F51" s="493" t="str">
        <f ca="1">DATEDIF(E51,$O$1,"y") &amp; " años " &amp;  DATEDIF(E51,$O$1,"YM") &amp; " meses " &amp;  DATEDIF(E51,$O$1,"MD") &amp; " días "</f>
        <v xml:space="preserve">3 años 3 meses 20 días </v>
      </c>
      <c r="G51" s="350">
        <v>44110</v>
      </c>
      <c r="H51" s="350">
        <f ca="1">TODAY()</f>
        <v>45317</v>
      </c>
      <c r="I51" s="346" t="e">
        <f t="shared" ca="1" si="5"/>
        <v>#NAME?</v>
      </c>
      <c r="J51" s="511" t="e">
        <f ca="1">SumAños(G51:H54)</f>
        <v>#NAME?</v>
      </c>
      <c r="K51" s="343" t="e">
        <f t="shared" ca="1" si="1"/>
        <v>#NAME?</v>
      </c>
      <c r="L51" s="514" t="e">
        <f t="shared" ca="1" si="2"/>
        <v>#NAME?</v>
      </c>
      <c r="M51" s="487">
        <v>22</v>
      </c>
      <c r="N51" s="490">
        <v>550000</v>
      </c>
      <c r="O51" s="493">
        <f t="shared" si="3"/>
        <v>25380.710659898476</v>
      </c>
      <c r="P51" s="496">
        <f t="shared" si="4"/>
        <v>558375.63451776642</v>
      </c>
    </row>
    <row r="52" spans="1:16" ht="15" x14ac:dyDescent="0.25">
      <c r="A52" s="488"/>
      <c r="B52" s="500"/>
      <c r="C52" s="503"/>
      <c r="D52" s="506"/>
      <c r="E52" s="509"/>
      <c r="F52" s="494"/>
      <c r="G52" s="350">
        <v>29587</v>
      </c>
      <c r="H52" s="350">
        <v>30179</v>
      </c>
      <c r="I52" s="346" t="e">
        <f t="shared" ca="1" si="5"/>
        <v>#NAME?</v>
      </c>
      <c r="J52" s="512"/>
      <c r="K52" s="343"/>
      <c r="L52" s="515"/>
      <c r="M52" s="488"/>
      <c r="N52" s="491"/>
      <c r="O52" s="494"/>
      <c r="P52" s="497"/>
    </row>
    <row r="53" spans="1:16" ht="15" x14ac:dyDescent="0.25">
      <c r="A53" s="488"/>
      <c r="B53" s="500"/>
      <c r="C53" s="503"/>
      <c r="D53" s="506"/>
      <c r="E53" s="509"/>
      <c r="F53" s="494"/>
      <c r="G53" s="350">
        <v>29047</v>
      </c>
      <c r="H53" s="350">
        <v>29596</v>
      </c>
      <c r="I53" s="346" t="e">
        <f t="shared" ca="1" si="5"/>
        <v>#NAME?</v>
      </c>
      <c r="J53" s="512"/>
      <c r="K53" s="343"/>
      <c r="L53" s="515"/>
      <c r="M53" s="488"/>
      <c r="N53" s="491"/>
      <c r="O53" s="494"/>
      <c r="P53" s="497"/>
    </row>
    <row r="54" spans="1:16" ht="15" x14ac:dyDescent="0.25">
      <c r="A54" s="489"/>
      <c r="B54" s="501"/>
      <c r="C54" s="504"/>
      <c r="D54" s="507"/>
      <c r="E54" s="510"/>
      <c r="F54" s="495"/>
      <c r="G54" s="350">
        <v>35156</v>
      </c>
      <c r="H54" s="350">
        <v>35489</v>
      </c>
      <c r="I54" s="346" t="e">
        <f ca="1">SumAños(G54:H54)</f>
        <v>#NAME?</v>
      </c>
      <c r="J54" s="513"/>
      <c r="K54" s="343"/>
      <c r="L54" s="516"/>
      <c r="M54" s="489"/>
      <c r="N54" s="492"/>
      <c r="O54" s="495"/>
      <c r="P54" s="498"/>
    </row>
    <row r="55" spans="1:16" ht="25.5" x14ac:dyDescent="0.2">
      <c r="A55" s="268">
        <v>40</v>
      </c>
      <c r="B55" s="388" t="s">
        <v>596</v>
      </c>
      <c r="C55" s="341" t="s">
        <v>597</v>
      </c>
      <c r="D55" s="342" t="s">
        <v>598</v>
      </c>
      <c r="E55" s="267">
        <v>42095</v>
      </c>
      <c r="F55" s="343" t="str">
        <f t="shared" ref="F55:F60" ca="1" si="10">DATEDIF(E55,$O$1,"y") &amp; " años " &amp;  DATEDIF(E55,$O$1,"YM") &amp; " meses " &amp;  DATEDIF(E55,$O$1,"MD") &amp; " días "</f>
        <v xml:space="preserve">8 años 9 meses 25 días </v>
      </c>
      <c r="G55" s="344"/>
      <c r="H55" s="344"/>
      <c r="I55" s="346" t="e">
        <f t="shared" ref="I55:I60" ca="1" si="11">SumAños(G55:H55)</f>
        <v>#NAME?</v>
      </c>
      <c r="J55" s="343" t="str">
        <f t="shared" ca="1" si="7"/>
        <v xml:space="preserve">8 años 9 meses 25 días </v>
      </c>
      <c r="K55" s="343" t="str">
        <f t="shared" ca="1" si="1"/>
        <v xml:space="preserve">8 </v>
      </c>
      <c r="L55" s="389">
        <f t="shared" ca="1" si="2"/>
        <v>20</v>
      </c>
      <c r="M55" s="268">
        <v>0</v>
      </c>
      <c r="N55" s="390">
        <v>32500</v>
      </c>
      <c r="O55" s="343">
        <f t="shared" si="3"/>
        <v>1499.769266266728</v>
      </c>
      <c r="P55" s="391">
        <f t="shared" si="4"/>
        <v>0</v>
      </c>
    </row>
    <row r="56" spans="1:16" ht="15" x14ac:dyDescent="0.2">
      <c r="A56" s="268">
        <v>41</v>
      </c>
      <c r="B56" s="388" t="s">
        <v>599</v>
      </c>
      <c r="C56" s="341" t="s">
        <v>600</v>
      </c>
      <c r="D56" s="342" t="s">
        <v>601</v>
      </c>
      <c r="E56" s="267">
        <v>44110</v>
      </c>
      <c r="F56" s="343" t="str">
        <f t="shared" ca="1" si="10"/>
        <v xml:space="preserve">3 años 3 meses 20 días </v>
      </c>
      <c r="G56" s="344"/>
      <c r="H56" s="344"/>
      <c r="I56" s="346" t="e">
        <f t="shared" ca="1" si="11"/>
        <v>#NAME?</v>
      </c>
      <c r="J56" s="343" t="str">
        <f t="shared" ca="1" si="7"/>
        <v xml:space="preserve">3 años 3 meses 20 días </v>
      </c>
      <c r="K56" s="343" t="str">
        <f t="shared" ca="1" si="1"/>
        <v xml:space="preserve">3 </v>
      </c>
      <c r="L56" s="389">
        <f t="shared" ca="1" si="2"/>
        <v>15</v>
      </c>
      <c r="M56" s="268">
        <v>7</v>
      </c>
      <c r="N56" s="390">
        <v>275000</v>
      </c>
      <c r="O56" s="343">
        <f t="shared" si="3"/>
        <v>12690.355329949238</v>
      </c>
      <c r="P56" s="391">
        <f t="shared" si="4"/>
        <v>88832.487309644668</v>
      </c>
    </row>
    <row r="57" spans="1:16" ht="15" x14ac:dyDescent="0.2">
      <c r="A57" s="268">
        <v>42</v>
      </c>
      <c r="B57" s="388" t="s">
        <v>602</v>
      </c>
      <c r="C57" s="341" t="s">
        <v>603</v>
      </c>
      <c r="D57" s="342" t="s">
        <v>536</v>
      </c>
      <c r="E57" s="267">
        <v>44166</v>
      </c>
      <c r="F57" s="343" t="str">
        <f t="shared" ca="1" si="10"/>
        <v xml:space="preserve">3 años 1 meses 25 días </v>
      </c>
      <c r="G57" s="344"/>
      <c r="H57" s="344"/>
      <c r="I57" s="346" t="e">
        <f t="shared" ca="1" si="11"/>
        <v>#NAME?</v>
      </c>
      <c r="J57" s="343" t="str">
        <f t="shared" ca="1" si="7"/>
        <v xml:space="preserve">3 años 1 meses 25 días </v>
      </c>
      <c r="K57" s="343" t="str">
        <f t="shared" ca="1" si="1"/>
        <v xml:space="preserve">3 </v>
      </c>
      <c r="L57" s="389">
        <f t="shared" ca="1" si="2"/>
        <v>15</v>
      </c>
      <c r="M57" s="268">
        <v>15</v>
      </c>
      <c r="N57" s="390">
        <v>25000</v>
      </c>
      <c r="O57" s="343">
        <f t="shared" si="3"/>
        <v>1153.6686663590217</v>
      </c>
      <c r="P57" s="391">
        <f t="shared" si="4"/>
        <v>17305.029995385325</v>
      </c>
    </row>
    <row r="58" spans="1:16" ht="15" x14ac:dyDescent="0.2">
      <c r="A58" s="268">
        <v>43</v>
      </c>
      <c r="B58" s="388" t="s">
        <v>604</v>
      </c>
      <c r="C58" s="341" t="s">
        <v>605</v>
      </c>
      <c r="D58" s="342" t="s">
        <v>606</v>
      </c>
      <c r="E58" s="267">
        <v>43598</v>
      </c>
      <c r="F58" s="343" t="str">
        <f t="shared" ca="1" si="10"/>
        <v xml:space="preserve">4 años 8 meses 13 días </v>
      </c>
      <c r="G58" s="344"/>
      <c r="H58" s="344"/>
      <c r="I58" s="346" t="e">
        <f t="shared" ca="1" si="11"/>
        <v>#NAME?</v>
      </c>
      <c r="J58" s="343" t="str">
        <f t="shared" ca="1" si="7"/>
        <v xml:space="preserve">4 años 8 meses 13 días </v>
      </c>
      <c r="K58" s="343" t="str">
        <f t="shared" ca="1" si="1"/>
        <v xml:space="preserve">4 </v>
      </c>
      <c r="L58" s="389">
        <f t="shared" ca="1" si="2"/>
        <v>15</v>
      </c>
      <c r="M58" s="268">
        <v>5</v>
      </c>
      <c r="N58" s="390">
        <v>50000</v>
      </c>
      <c r="O58" s="343">
        <f t="shared" si="3"/>
        <v>2307.3373327180434</v>
      </c>
      <c r="P58" s="391">
        <f t="shared" si="4"/>
        <v>11536.686663590217</v>
      </c>
    </row>
    <row r="59" spans="1:16" ht="25.5" x14ac:dyDescent="0.2">
      <c r="A59" s="268">
        <v>44</v>
      </c>
      <c r="B59" s="388" t="s">
        <v>607</v>
      </c>
      <c r="C59" s="341" t="s">
        <v>608</v>
      </c>
      <c r="D59" s="342" t="s">
        <v>609</v>
      </c>
      <c r="E59" s="267">
        <v>38231</v>
      </c>
      <c r="F59" s="343" t="str">
        <f t="shared" ca="1" si="10"/>
        <v xml:space="preserve">19 años 4 meses 25 días </v>
      </c>
      <c r="G59" s="344"/>
      <c r="H59" s="344"/>
      <c r="I59" s="346" t="e">
        <f t="shared" ca="1" si="11"/>
        <v>#NAME?</v>
      </c>
      <c r="J59" s="343" t="str">
        <f t="shared" ca="1" si="7"/>
        <v xml:space="preserve">19 años 4 meses 25 días </v>
      </c>
      <c r="K59" s="343" t="str">
        <f t="shared" ca="1" si="1"/>
        <v xml:space="preserve">19 </v>
      </c>
      <c r="L59" s="389">
        <f t="shared" ca="1" si="2"/>
        <v>30</v>
      </c>
      <c r="M59" s="268">
        <v>15</v>
      </c>
      <c r="N59" s="390">
        <v>80000</v>
      </c>
      <c r="O59" s="343">
        <f>N59/21.67</f>
        <v>3691.739732348869</v>
      </c>
      <c r="P59" s="391">
        <f t="shared" si="4"/>
        <v>55376.095985233034</v>
      </c>
    </row>
    <row r="60" spans="1:16" ht="30" customHeight="1" x14ac:dyDescent="0.2">
      <c r="A60" s="487">
        <v>45</v>
      </c>
      <c r="B60" s="499" t="s">
        <v>610</v>
      </c>
      <c r="C60" s="502" t="s">
        <v>611</v>
      </c>
      <c r="D60" s="536" t="s">
        <v>581</v>
      </c>
      <c r="E60" s="508">
        <v>44958</v>
      </c>
      <c r="F60" s="493" t="str">
        <f t="shared" ca="1" si="10"/>
        <v xml:space="preserve">0 años 11 meses 25 días </v>
      </c>
      <c r="G60" s="267">
        <v>44958</v>
      </c>
      <c r="H60" s="352">
        <f ca="1">TODAY()</f>
        <v>45317</v>
      </c>
      <c r="I60" s="346" t="e">
        <f t="shared" ca="1" si="11"/>
        <v>#NAME?</v>
      </c>
      <c r="J60" s="511" t="e">
        <f ca="1">SumAños(G60:H61)</f>
        <v>#NAME?</v>
      </c>
      <c r="K60" s="343" t="e">
        <f t="shared" ca="1" si="1"/>
        <v>#NAME?</v>
      </c>
      <c r="L60" s="514" t="e">
        <f t="shared" ca="1" si="2"/>
        <v>#NAME?</v>
      </c>
      <c r="M60" s="487">
        <v>25</v>
      </c>
      <c r="N60" s="490">
        <v>45000</v>
      </c>
      <c r="O60" s="530">
        <f t="shared" si="3"/>
        <v>2076.6035994462391</v>
      </c>
      <c r="P60" s="496">
        <f>O60*M60</f>
        <v>51915.089986155974</v>
      </c>
    </row>
    <row r="61" spans="1:16" x14ac:dyDescent="0.2">
      <c r="A61" s="489"/>
      <c r="B61" s="501"/>
      <c r="C61" s="504"/>
      <c r="D61" s="537"/>
      <c r="E61" s="510"/>
      <c r="F61" s="495"/>
      <c r="G61" s="345">
        <v>38071</v>
      </c>
      <c r="H61" s="345">
        <v>44407</v>
      </c>
      <c r="I61" s="346" t="e">
        <f ca="1">SumAños(G61:H61)</f>
        <v>#NAME?</v>
      </c>
      <c r="J61" s="513"/>
      <c r="K61" s="343"/>
      <c r="L61" s="516"/>
      <c r="M61" s="489"/>
      <c r="N61" s="492"/>
      <c r="O61" s="535"/>
      <c r="P61" s="498"/>
    </row>
    <row r="62" spans="1:16" ht="15" x14ac:dyDescent="0.25">
      <c r="A62" s="487">
        <v>46</v>
      </c>
      <c r="B62" s="499" t="s">
        <v>612</v>
      </c>
      <c r="C62" s="502" t="s">
        <v>613</v>
      </c>
      <c r="D62" s="505" t="s">
        <v>614</v>
      </c>
      <c r="E62" s="508">
        <v>44166</v>
      </c>
      <c r="F62" s="493" t="str">
        <f ca="1">DATEDIF(E62,$O$1,"y") &amp; " años " &amp;  DATEDIF(E62,$O$1,"YM") &amp; " meses " &amp;  DATEDIF(E62,$O$1,"MD") &amp; " días "</f>
        <v xml:space="preserve">3 años 1 meses 25 días </v>
      </c>
      <c r="G62" s="350">
        <v>44166</v>
      </c>
      <c r="H62" s="350">
        <f ca="1">TODAY()</f>
        <v>45317</v>
      </c>
      <c r="I62" s="346" t="e">
        <f t="shared" ca="1" si="5"/>
        <v>#NAME?</v>
      </c>
      <c r="J62" s="511" t="e">
        <f ca="1">SumAños(G62:H63)</f>
        <v>#NAME?</v>
      </c>
      <c r="K62" s="343" t="e">
        <f t="shared" ca="1" si="1"/>
        <v>#NAME?</v>
      </c>
      <c r="L62" s="514" t="e">
        <f t="shared" ca="1" si="2"/>
        <v>#NAME?</v>
      </c>
      <c r="M62" s="487">
        <v>30</v>
      </c>
      <c r="N62" s="490">
        <v>80000</v>
      </c>
      <c r="O62" s="493">
        <f t="shared" si="3"/>
        <v>3691.739732348869</v>
      </c>
      <c r="P62" s="496">
        <f t="shared" si="4"/>
        <v>110752.19197046607</v>
      </c>
    </row>
    <row r="63" spans="1:16" ht="15" x14ac:dyDescent="0.25">
      <c r="A63" s="489"/>
      <c r="B63" s="501"/>
      <c r="C63" s="504"/>
      <c r="D63" s="507"/>
      <c r="E63" s="510"/>
      <c r="F63" s="495"/>
      <c r="G63" s="350">
        <v>29221</v>
      </c>
      <c r="H63" s="350">
        <v>44183</v>
      </c>
      <c r="I63" s="346" t="e">
        <f t="shared" ca="1" si="5"/>
        <v>#NAME?</v>
      </c>
      <c r="J63" s="513"/>
      <c r="K63" s="343"/>
      <c r="L63" s="516"/>
      <c r="M63" s="489"/>
      <c r="N63" s="492"/>
      <c r="O63" s="495"/>
      <c r="P63" s="498"/>
    </row>
    <row r="64" spans="1:16" ht="30" customHeight="1" x14ac:dyDescent="0.25">
      <c r="A64" s="487">
        <v>47</v>
      </c>
      <c r="B64" s="499" t="s">
        <v>615</v>
      </c>
      <c r="C64" s="502" t="s">
        <v>616</v>
      </c>
      <c r="D64" s="505" t="s">
        <v>617</v>
      </c>
      <c r="E64" s="508">
        <v>41730</v>
      </c>
      <c r="F64" s="493" t="str">
        <f ca="1">DATEDIF(E64,$O$1,"y") &amp; " años " &amp;  DATEDIF(E64,$O$1,"YM") &amp; " meses " &amp;  DATEDIF(E64,$O$1,"MD") &amp; " días "</f>
        <v xml:space="preserve">9 años 9 meses 25 días </v>
      </c>
      <c r="G64" s="350">
        <v>41730</v>
      </c>
      <c r="H64" s="350">
        <f ca="1">TODAY()</f>
        <v>45317</v>
      </c>
      <c r="I64" s="346" t="e">
        <f t="shared" ca="1" si="5"/>
        <v>#NAME?</v>
      </c>
      <c r="J64" s="493" t="str">
        <f t="shared" ca="1" si="7"/>
        <v xml:space="preserve">9 años 9 meses 25 días </v>
      </c>
      <c r="K64" s="343" t="str">
        <f t="shared" ca="1" si="1"/>
        <v xml:space="preserve">9 </v>
      </c>
      <c r="L64" s="514">
        <f t="shared" ca="1" si="2"/>
        <v>20</v>
      </c>
      <c r="M64" s="487">
        <v>0</v>
      </c>
      <c r="N64" s="490">
        <v>15000</v>
      </c>
      <c r="O64" s="493">
        <f t="shared" si="3"/>
        <v>692.20119981541291</v>
      </c>
      <c r="P64" s="496">
        <f t="shared" si="4"/>
        <v>0</v>
      </c>
    </row>
    <row r="65" spans="1:16" ht="15" x14ac:dyDescent="0.25">
      <c r="A65" s="489"/>
      <c r="B65" s="501"/>
      <c r="C65" s="504"/>
      <c r="D65" s="507"/>
      <c r="E65" s="510"/>
      <c r="F65" s="495"/>
      <c r="G65" s="350">
        <v>39815</v>
      </c>
      <c r="H65" s="350">
        <v>40998</v>
      </c>
      <c r="I65" s="346" t="e">
        <f t="shared" ca="1" si="5"/>
        <v>#NAME?</v>
      </c>
      <c r="J65" s="495"/>
      <c r="K65" s="343"/>
      <c r="L65" s="516"/>
      <c r="M65" s="489"/>
      <c r="N65" s="492"/>
      <c r="O65" s="495"/>
      <c r="P65" s="498"/>
    </row>
    <row r="66" spans="1:16" ht="30" customHeight="1" x14ac:dyDescent="0.25">
      <c r="A66" s="487">
        <v>48</v>
      </c>
      <c r="B66" s="499" t="s">
        <v>618</v>
      </c>
      <c r="C66" s="502" t="s">
        <v>619</v>
      </c>
      <c r="D66" s="505" t="s">
        <v>581</v>
      </c>
      <c r="E66" s="508">
        <v>44230</v>
      </c>
      <c r="F66" s="493" t="str">
        <f ca="1">DATEDIF(E66,$O$1,"y") &amp; " años " &amp;  DATEDIF(E66,$O$1,"YM") &amp; " meses " &amp;  DATEDIF(E66,$O$1,"MD") &amp; " días "</f>
        <v xml:space="preserve">2 años 11 meses 23 días </v>
      </c>
      <c r="G66" s="350">
        <v>44230</v>
      </c>
      <c r="H66" s="353">
        <f ca="1">TODAY()</f>
        <v>45317</v>
      </c>
      <c r="I66" s="346" t="e">
        <f t="shared" ca="1" si="5"/>
        <v>#NAME?</v>
      </c>
      <c r="J66" s="511" t="e">
        <f ca="1">SumAños(G66:H69)</f>
        <v>#NAME?</v>
      </c>
      <c r="K66" s="493" t="e">
        <f t="shared" ca="1" si="1"/>
        <v>#NAME?</v>
      </c>
      <c r="L66" s="514" t="e">
        <f t="shared" ca="1" si="2"/>
        <v>#NAME?</v>
      </c>
      <c r="M66" s="487">
        <v>20</v>
      </c>
      <c r="N66" s="490">
        <v>45000</v>
      </c>
      <c r="O66" s="493">
        <f t="shared" si="3"/>
        <v>2076.6035994462391</v>
      </c>
      <c r="P66" s="496">
        <f t="shared" si="4"/>
        <v>41532.071988924785</v>
      </c>
    </row>
    <row r="67" spans="1:16" ht="15" x14ac:dyDescent="0.25">
      <c r="A67" s="488"/>
      <c r="B67" s="500"/>
      <c r="C67" s="503"/>
      <c r="D67" s="506"/>
      <c r="E67" s="509"/>
      <c r="F67" s="494"/>
      <c r="G67" s="350">
        <v>40969</v>
      </c>
      <c r="H67" s="350">
        <v>42737</v>
      </c>
      <c r="I67" s="346" t="e">
        <f t="shared" ca="1" si="5"/>
        <v>#NAME?</v>
      </c>
      <c r="J67" s="512"/>
      <c r="K67" s="494"/>
      <c r="L67" s="515"/>
      <c r="M67" s="488"/>
      <c r="N67" s="491"/>
      <c r="O67" s="494"/>
      <c r="P67" s="497"/>
    </row>
    <row r="68" spans="1:16" ht="15" x14ac:dyDescent="0.25">
      <c r="A68" s="488"/>
      <c r="B68" s="500"/>
      <c r="C68" s="503"/>
      <c r="D68" s="506"/>
      <c r="E68" s="509"/>
      <c r="F68" s="494"/>
      <c r="G68" s="350">
        <v>42737</v>
      </c>
      <c r="H68" s="350">
        <v>43182</v>
      </c>
      <c r="I68" s="346" t="e">
        <f t="shared" ca="1" si="5"/>
        <v>#NAME?</v>
      </c>
      <c r="J68" s="512"/>
      <c r="K68" s="494"/>
      <c r="L68" s="515"/>
      <c r="M68" s="488"/>
      <c r="N68" s="491"/>
      <c r="O68" s="494"/>
      <c r="P68" s="497"/>
    </row>
    <row r="69" spans="1:16" ht="15" x14ac:dyDescent="0.25">
      <c r="A69" s="489"/>
      <c r="B69" s="501"/>
      <c r="C69" s="504"/>
      <c r="D69" s="507"/>
      <c r="E69" s="510"/>
      <c r="F69" s="495"/>
      <c r="G69" s="350">
        <v>43191</v>
      </c>
      <c r="H69" s="350">
        <v>44165</v>
      </c>
      <c r="I69" s="346" t="e">
        <f t="shared" ca="1" si="5"/>
        <v>#NAME?</v>
      </c>
      <c r="J69" s="513"/>
      <c r="K69" s="495"/>
      <c r="L69" s="516"/>
      <c r="M69" s="489"/>
      <c r="N69" s="492"/>
      <c r="O69" s="495"/>
      <c r="P69" s="498"/>
    </row>
    <row r="70" spans="1:16" ht="15" x14ac:dyDescent="0.2">
      <c r="A70" s="268">
        <v>49</v>
      </c>
      <c r="B70" s="388" t="s">
        <v>620</v>
      </c>
      <c r="C70" s="341" t="s">
        <v>621</v>
      </c>
      <c r="D70" s="342" t="s">
        <v>622</v>
      </c>
      <c r="E70" s="267">
        <v>44136</v>
      </c>
      <c r="F70" s="343" t="str">
        <f ca="1">DATEDIF(E70,$O$1,"y") &amp; " años " &amp;  DATEDIF(E70,$O$1,"YM") &amp; " meses " &amp;  DATEDIF(E70,$O$1,"MD") &amp; " días "</f>
        <v xml:space="preserve">3 años 2 meses 25 días </v>
      </c>
      <c r="G70" s="344"/>
      <c r="H70" s="344"/>
      <c r="I70" s="346"/>
      <c r="J70" s="343" t="str">
        <f t="shared" ca="1" si="7"/>
        <v xml:space="preserve">3 años 2 meses 25 días </v>
      </c>
      <c r="K70" s="343" t="str">
        <f t="shared" ref="K70:K123" ca="1" si="12">+MID(J70,1,FIND("años",J70,1)-1)</f>
        <v xml:space="preserve">3 </v>
      </c>
      <c r="L70" s="389">
        <f t="shared" ref="L70:L123" ca="1" si="13">IF(AND(_xlfn.NUMBERVALUE(K70)&gt;=1,_xlfn.NUMBERVALUE(K70)&lt;=4.99),(15),IF(AND(_xlfn.NUMBERVALUE(K70)&gt;=5,_xlfn.NUMBERVALUE(K70)&lt;=9.99),(20),IF(AND(_xlfn.NUMBERVALUE(K70)&gt;=10,_xlfn.NUMBERVALUE(K70)&lt;=14.99),(25),IF(_xlfn.NUMBERVALUE(K70)&gt;=15,(30),0))))</f>
        <v>15</v>
      </c>
      <c r="M70" s="268">
        <v>20</v>
      </c>
      <c r="N70" s="390">
        <v>200000</v>
      </c>
      <c r="O70" s="343">
        <f t="shared" si="3"/>
        <v>9229.3493308721736</v>
      </c>
      <c r="P70" s="391">
        <f t="shared" ref="P70:P71" si="14">O70*M70</f>
        <v>184586.98661744347</v>
      </c>
    </row>
    <row r="71" spans="1:16" x14ac:dyDescent="0.2">
      <c r="A71" s="487">
        <v>50</v>
      </c>
      <c r="B71" s="499" t="s">
        <v>623</v>
      </c>
      <c r="C71" s="502" t="s">
        <v>624</v>
      </c>
      <c r="D71" s="505" t="s">
        <v>516</v>
      </c>
      <c r="E71" s="508">
        <v>44774</v>
      </c>
      <c r="F71" s="493" t="str">
        <f ca="1">DATEDIF(E71,$O$1,"y") &amp; " años " &amp;  DATEDIF(E71,$O$1,"YM") &amp; " meses " &amp;  DATEDIF(E71,$O$1,"MD") &amp; " días "</f>
        <v xml:space="preserve">1 años 5 meses 25 días </v>
      </c>
      <c r="G71" s="344"/>
      <c r="H71" s="344"/>
      <c r="I71" s="346"/>
      <c r="J71" s="493" t="str">
        <f t="shared" ca="1" si="7"/>
        <v xml:space="preserve">1 años 5 meses 25 días </v>
      </c>
      <c r="K71" s="343" t="str">
        <f t="shared" ca="1" si="12"/>
        <v xml:space="preserve">1 </v>
      </c>
      <c r="L71" s="514">
        <f t="shared" ca="1" si="13"/>
        <v>15</v>
      </c>
      <c r="M71" s="487">
        <v>10</v>
      </c>
      <c r="N71" s="490">
        <v>55000</v>
      </c>
      <c r="O71" s="493">
        <f t="shared" si="3"/>
        <v>2538.0710659898477</v>
      </c>
      <c r="P71" s="496">
        <f t="shared" si="14"/>
        <v>25380.710659898476</v>
      </c>
    </row>
    <row r="72" spans="1:16" x14ac:dyDescent="0.2">
      <c r="A72" s="489"/>
      <c r="B72" s="501"/>
      <c r="C72" s="504"/>
      <c r="D72" s="507"/>
      <c r="E72" s="510"/>
      <c r="F72" s="495"/>
      <c r="G72" s="344"/>
      <c r="H72" s="344"/>
      <c r="I72" s="346"/>
      <c r="J72" s="495"/>
      <c r="K72" s="343"/>
      <c r="L72" s="516"/>
      <c r="M72" s="489"/>
      <c r="N72" s="492"/>
      <c r="O72" s="495"/>
      <c r="P72" s="498"/>
    </row>
    <row r="73" spans="1:16" ht="15" x14ac:dyDescent="0.2">
      <c r="A73" s="268">
        <v>51</v>
      </c>
      <c r="B73" s="388" t="s">
        <v>625</v>
      </c>
      <c r="C73" s="341" t="s">
        <v>626</v>
      </c>
      <c r="D73" s="342" t="s">
        <v>362</v>
      </c>
      <c r="E73" s="267">
        <v>44089</v>
      </c>
      <c r="F73" s="343" t="str">
        <f ca="1">DATEDIF(E73,$O$1,"y") &amp; " años " &amp;  DATEDIF(E73,$O$1,"YM") &amp; " meses " &amp;  DATEDIF(E73,$O$1,"MD") &amp; " días "</f>
        <v xml:space="preserve">3 años 4 meses 11 días </v>
      </c>
      <c r="G73" s="344"/>
      <c r="H73" s="344"/>
      <c r="I73" s="346"/>
      <c r="J73" s="343" t="str">
        <f t="shared" ca="1" si="7"/>
        <v xml:space="preserve">3 años 4 meses 11 días </v>
      </c>
      <c r="K73" s="343" t="str">
        <f t="shared" ca="1" si="12"/>
        <v xml:space="preserve">3 </v>
      </c>
      <c r="L73" s="389">
        <f t="shared" ca="1" si="13"/>
        <v>15</v>
      </c>
      <c r="M73" s="268">
        <v>15</v>
      </c>
      <c r="N73" s="390">
        <v>140000</v>
      </c>
      <c r="O73" s="343">
        <f t="shared" si="3"/>
        <v>6460.5445316105206</v>
      </c>
      <c r="P73" s="391">
        <f t="shared" ref="P73:P123" si="15">O73*M73</f>
        <v>96908.167974157812</v>
      </c>
    </row>
    <row r="74" spans="1:16" ht="15" x14ac:dyDescent="0.25">
      <c r="A74" s="487">
        <v>52</v>
      </c>
      <c r="B74" s="499" t="s">
        <v>627</v>
      </c>
      <c r="C74" s="502" t="s">
        <v>361</v>
      </c>
      <c r="D74" s="505" t="s">
        <v>362</v>
      </c>
      <c r="E74" s="508">
        <v>36017</v>
      </c>
      <c r="F74" s="493" t="str">
        <f ca="1">DATEDIF(E74,$O$1,"y") &amp; " años " &amp;  DATEDIF(E74,$O$1,"YM") &amp; " meses " &amp;  DATEDIF(E74,$O$1,"MD") &amp; " días "</f>
        <v xml:space="preserve">25 años 5 meses 16 días </v>
      </c>
      <c r="G74" s="350">
        <v>36017</v>
      </c>
      <c r="H74" s="350">
        <f ca="1">TODAY()</f>
        <v>45317</v>
      </c>
      <c r="I74" s="346" t="e">
        <f t="shared" ca="1" si="5"/>
        <v>#NAME?</v>
      </c>
      <c r="J74" s="511" t="e">
        <f ca="1">SumAños(G74:H75)</f>
        <v>#NAME?</v>
      </c>
      <c r="K74" s="493" t="e">
        <f t="shared" ca="1" si="12"/>
        <v>#NAME?</v>
      </c>
      <c r="L74" s="514" t="e">
        <f t="shared" ca="1" si="13"/>
        <v>#NAME?</v>
      </c>
      <c r="M74" s="487">
        <v>34</v>
      </c>
      <c r="N74" s="490">
        <v>345000</v>
      </c>
      <c r="O74" s="493">
        <f t="shared" si="3"/>
        <v>15920.627595754499</v>
      </c>
      <c r="P74" s="496">
        <f t="shared" si="15"/>
        <v>541301.33825565292</v>
      </c>
    </row>
    <row r="75" spans="1:16" ht="15" x14ac:dyDescent="0.25">
      <c r="A75" s="489"/>
      <c r="B75" s="501"/>
      <c r="C75" s="504"/>
      <c r="D75" s="507"/>
      <c r="E75" s="510"/>
      <c r="F75" s="495"/>
      <c r="G75" s="350">
        <v>32925</v>
      </c>
      <c r="H75" s="350">
        <v>36008</v>
      </c>
      <c r="I75" s="346" t="e">
        <f t="shared" ca="1" si="5"/>
        <v>#NAME?</v>
      </c>
      <c r="J75" s="513"/>
      <c r="K75" s="495"/>
      <c r="L75" s="516"/>
      <c r="M75" s="489"/>
      <c r="N75" s="492"/>
      <c r="O75" s="495"/>
      <c r="P75" s="498"/>
    </row>
    <row r="76" spans="1:16" x14ac:dyDescent="0.2">
      <c r="A76" s="268">
        <v>53</v>
      </c>
      <c r="B76" s="394" t="s">
        <v>628</v>
      </c>
      <c r="C76" s="341" t="s">
        <v>629</v>
      </c>
      <c r="D76" s="342" t="s">
        <v>519</v>
      </c>
      <c r="E76" s="267">
        <v>45078</v>
      </c>
      <c r="F76" s="343" t="str">
        <f ca="1">DATEDIF(E76,$O$1,"y") &amp; " años " &amp;  DATEDIF(E76,$O$1,"YM") &amp; " meses " &amp;  DATEDIF(E76,$O$1,"MD") &amp; " días "</f>
        <v xml:space="preserve">0 años 7 meses 25 días </v>
      </c>
      <c r="G76" s="344"/>
      <c r="H76" s="344"/>
      <c r="I76" s="346"/>
      <c r="J76" s="343" t="str">
        <f t="shared" ca="1" si="7"/>
        <v xml:space="preserve">0 años 7 meses 25 días </v>
      </c>
      <c r="K76" s="343" t="str">
        <f t="shared" ca="1" si="12"/>
        <v xml:space="preserve">0 </v>
      </c>
      <c r="L76" s="389">
        <f t="shared" ca="1" si="13"/>
        <v>0</v>
      </c>
      <c r="M76" s="268">
        <v>0</v>
      </c>
      <c r="N76" s="390">
        <v>20000</v>
      </c>
      <c r="O76" s="343">
        <f t="shared" si="3"/>
        <v>922.93493308721725</v>
      </c>
      <c r="P76" s="391">
        <f t="shared" si="15"/>
        <v>0</v>
      </c>
    </row>
    <row r="77" spans="1:16" ht="15" x14ac:dyDescent="0.25">
      <c r="A77" s="487">
        <v>55</v>
      </c>
      <c r="B77" s="499" t="s">
        <v>630</v>
      </c>
      <c r="C77" s="502" t="s">
        <v>631</v>
      </c>
      <c r="D77" s="505" t="s">
        <v>632</v>
      </c>
      <c r="E77" s="508">
        <v>44652</v>
      </c>
      <c r="F77" s="493" t="str">
        <f ca="1">DATEDIF(E77,$O$1,"y") &amp; " años " &amp;  DATEDIF(E77,$O$1,"YM") &amp; " meses " &amp;  DATEDIF(E77,$O$1,"MD") &amp; " días "</f>
        <v xml:space="preserve">1 años 9 meses 25 días </v>
      </c>
      <c r="G77" s="350">
        <v>44652</v>
      </c>
      <c r="H77" s="350">
        <f ca="1">TODAY()</f>
        <v>45317</v>
      </c>
      <c r="I77" s="346" t="e">
        <f t="shared" ca="1" si="5"/>
        <v>#NAME?</v>
      </c>
      <c r="J77" s="511" t="e">
        <f ca="1">SumAños(G77:H78)</f>
        <v>#NAME?</v>
      </c>
      <c r="K77" s="493" t="e">
        <f t="shared" ca="1" si="12"/>
        <v>#NAME?</v>
      </c>
      <c r="L77" s="514" t="e">
        <f t="shared" ca="1" si="13"/>
        <v>#NAME?</v>
      </c>
      <c r="M77" s="487">
        <v>0</v>
      </c>
      <c r="N77" s="490">
        <v>35000</v>
      </c>
      <c r="O77" s="493">
        <f t="shared" si="3"/>
        <v>1615.1361329026302</v>
      </c>
      <c r="P77" s="496">
        <f t="shared" si="15"/>
        <v>0</v>
      </c>
    </row>
    <row r="78" spans="1:16" ht="15" x14ac:dyDescent="0.25">
      <c r="A78" s="489"/>
      <c r="B78" s="501"/>
      <c r="C78" s="504"/>
      <c r="D78" s="507"/>
      <c r="E78" s="510"/>
      <c r="F78" s="495"/>
      <c r="G78" s="350">
        <v>42614</v>
      </c>
      <c r="H78" s="350">
        <v>44165</v>
      </c>
      <c r="I78" s="346" t="e">
        <f t="shared" ca="1" si="5"/>
        <v>#NAME?</v>
      </c>
      <c r="J78" s="513"/>
      <c r="K78" s="495"/>
      <c r="L78" s="516"/>
      <c r="M78" s="489"/>
      <c r="N78" s="492"/>
      <c r="O78" s="495"/>
      <c r="P78" s="498"/>
    </row>
    <row r="79" spans="1:16" ht="15" x14ac:dyDescent="0.2">
      <c r="A79" s="268">
        <v>56</v>
      </c>
      <c r="B79" s="388" t="s">
        <v>633</v>
      </c>
      <c r="C79" s="341" t="s">
        <v>634</v>
      </c>
      <c r="D79" s="342" t="s">
        <v>635</v>
      </c>
      <c r="E79" s="267">
        <v>44075</v>
      </c>
      <c r="F79" s="343" t="str">
        <f ca="1">DATEDIF(E79,$O$1,"y") &amp; " años " &amp;  DATEDIF(E79,$O$1,"YM") &amp; " meses " &amp;  DATEDIF(E79,$O$1,"MD") &amp; " días "</f>
        <v xml:space="preserve">3 años 4 meses 25 días </v>
      </c>
      <c r="G79" s="344"/>
      <c r="H79" s="344"/>
      <c r="I79" s="346"/>
      <c r="J79" s="343" t="str">
        <f t="shared" ca="1" si="7"/>
        <v xml:space="preserve">3 años 4 meses 25 días </v>
      </c>
      <c r="K79" s="343" t="str">
        <f t="shared" ca="1" si="12"/>
        <v xml:space="preserve">3 </v>
      </c>
      <c r="L79" s="389">
        <f t="shared" ca="1" si="13"/>
        <v>15</v>
      </c>
      <c r="M79" s="268">
        <v>28</v>
      </c>
      <c r="N79" s="390">
        <v>345000</v>
      </c>
      <c r="O79" s="343">
        <f t="shared" si="3"/>
        <v>15920.627595754499</v>
      </c>
      <c r="P79" s="391">
        <f t="shared" si="15"/>
        <v>445777.57268112595</v>
      </c>
    </row>
    <row r="80" spans="1:16" ht="25.5" x14ac:dyDescent="0.2">
      <c r="A80" s="268">
        <v>57</v>
      </c>
      <c r="B80" s="388" t="s">
        <v>636</v>
      </c>
      <c r="C80" s="341" t="s">
        <v>637</v>
      </c>
      <c r="D80" s="342" t="s">
        <v>556</v>
      </c>
      <c r="E80" s="267">
        <v>38657</v>
      </c>
      <c r="F80" s="343" t="str">
        <f ca="1">DATEDIF(E80,$O$1,"y") &amp; " años " &amp;  DATEDIF(E80,$O$1,"YM") &amp; " meses " &amp;  DATEDIF(E80,$O$1,"MD") &amp; " días "</f>
        <v xml:space="preserve">18 años 2 meses 25 días </v>
      </c>
      <c r="G80" s="344"/>
      <c r="H80" s="344"/>
      <c r="I80" s="346"/>
      <c r="J80" s="343" t="str">
        <f t="shared" ca="1" si="7"/>
        <v xml:space="preserve">18 años 2 meses 25 días </v>
      </c>
      <c r="K80" s="343" t="str">
        <f t="shared" ca="1" si="12"/>
        <v xml:space="preserve">18 </v>
      </c>
      <c r="L80" s="389">
        <f t="shared" ca="1" si="13"/>
        <v>30</v>
      </c>
      <c r="M80" s="268">
        <v>30</v>
      </c>
      <c r="N80" s="390">
        <v>32500</v>
      </c>
      <c r="O80" s="343">
        <f t="shared" si="3"/>
        <v>1499.769266266728</v>
      </c>
      <c r="P80" s="391">
        <f t="shared" si="15"/>
        <v>44993.077988001838</v>
      </c>
    </row>
    <row r="81" spans="1:16" ht="15" x14ac:dyDescent="0.2">
      <c r="A81" s="268">
        <v>58</v>
      </c>
      <c r="B81" s="388" t="s">
        <v>638</v>
      </c>
      <c r="C81" s="341" t="s">
        <v>639</v>
      </c>
      <c r="D81" s="342" t="s">
        <v>362</v>
      </c>
      <c r="E81" s="267">
        <v>44136</v>
      </c>
      <c r="F81" s="343" t="str">
        <f ca="1">DATEDIF(E81,$O$1,"y") &amp; " años " &amp;  DATEDIF(E81,$O$1,"YM") &amp; " meses " &amp;  DATEDIF(E81,$O$1,"MD") &amp; " días "</f>
        <v xml:space="preserve">3 años 2 meses 25 días </v>
      </c>
      <c r="G81" s="344"/>
      <c r="H81" s="344"/>
      <c r="I81" s="346"/>
      <c r="J81" s="343" t="str">
        <f t="shared" ca="1" si="7"/>
        <v xml:space="preserve">3 años 2 meses 25 días </v>
      </c>
      <c r="K81" s="343" t="str">
        <f t="shared" ca="1" si="12"/>
        <v xml:space="preserve">3 </v>
      </c>
      <c r="L81" s="389">
        <f t="shared" ca="1" si="13"/>
        <v>15</v>
      </c>
      <c r="M81" s="268">
        <v>8</v>
      </c>
      <c r="N81" s="390">
        <v>200000</v>
      </c>
      <c r="O81" s="343">
        <f t="shared" si="3"/>
        <v>9229.3493308721736</v>
      </c>
      <c r="P81" s="391">
        <f t="shared" si="15"/>
        <v>73834.794646977389</v>
      </c>
    </row>
    <row r="82" spans="1:16" ht="15" x14ac:dyDescent="0.25">
      <c r="A82" s="487">
        <v>59</v>
      </c>
      <c r="B82" s="499" t="s">
        <v>640</v>
      </c>
      <c r="C82" s="502" t="s">
        <v>641</v>
      </c>
      <c r="D82" s="505" t="s">
        <v>507</v>
      </c>
      <c r="E82" s="508">
        <v>44136</v>
      </c>
      <c r="F82" s="493" t="str">
        <f ca="1">DATEDIF(E82,$O$1,"y") &amp; " años " &amp;  DATEDIF(E82,$O$1,"YM") &amp; " meses " &amp;  DATEDIF(E82,$O$1,"MD") &amp; " días "</f>
        <v xml:space="preserve">3 años 2 meses 25 días </v>
      </c>
      <c r="G82" s="350">
        <v>44136</v>
      </c>
      <c r="H82" s="350">
        <f ca="1">TODAY()</f>
        <v>45317</v>
      </c>
      <c r="I82" s="346" t="e">
        <f t="shared" ca="1" si="5"/>
        <v>#NAME?</v>
      </c>
      <c r="J82" s="511" t="e">
        <f ca="1">SumAños(G82:H84)</f>
        <v>#NAME?</v>
      </c>
      <c r="K82" s="493" t="e">
        <f t="shared" ca="1" si="12"/>
        <v>#NAME?</v>
      </c>
      <c r="L82" s="514" t="e">
        <f t="shared" ca="1" si="13"/>
        <v>#NAME?</v>
      </c>
      <c r="M82" s="487">
        <v>30</v>
      </c>
      <c r="N82" s="490">
        <v>200000</v>
      </c>
      <c r="O82" s="493">
        <f t="shared" si="3"/>
        <v>9229.3493308721736</v>
      </c>
      <c r="P82" s="496">
        <f t="shared" si="15"/>
        <v>276880.47992616519</v>
      </c>
    </row>
    <row r="83" spans="1:16" ht="15" x14ac:dyDescent="0.2">
      <c r="A83" s="488"/>
      <c r="B83" s="500"/>
      <c r="C83" s="503"/>
      <c r="D83" s="506"/>
      <c r="E83" s="509"/>
      <c r="F83" s="494"/>
      <c r="G83" s="270">
        <v>39630</v>
      </c>
      <c r="H83" s="270">
        <v>43404</v>
      </c>
      <c r="I83" s="346" t="e">
        <f t="shared" ca="1" si="5"/>
        <v>#NAME?</v>
      </c>
      <c r="J83" s="512"/>
      <c r="K83" s="494"/>
      <c r="L83" s="515"/>
      <c r="M83" s="488"/>
      <c r="N83" s="491"/>
      <c r="O83" s="494"/>
      <c r="P83" s="497"/>
    </row>
    <row r="84" spans="1:16" ht="15" x14ac:dyDescent="0.2">
      <c r="A84" s="489"/>
      <c r="B84" s="501"/>
      <c r="C84" s="504"/>
      <c r="D84" s="507"/>
      <c r="E84" s="510"/>
      <c r="F84" s="495"/>
      <c r="G84" s="270">
        <v>43405</v>
      </c>
      <c r="H84" s="270">
        <v>44135</v>
      </c>
      <c r="I84" s="346" t="e">
        <f t="shared" ca="1" si="5"/>
        <v>#NAME?</v>
      </c>
      <c r="J84" s="513"/>
      <c r="K84" s="495"/>
      <c r="L84" s="516"/>
      <c r="M84" s="489"/>
      <c r="N84" s="492"/>
      <c r="O84" s="495"/>
      <c r="P84" s="498"/>
    </row>
    <row r="85" spans="1:16" ht="15" x14ac:dyDescent="0.2">
      <c r="A85" s="268">
        <v>60</v>
      </c>
      <c r="B85" s="388" t="s">
        <v>642</v>
      </c>
      <c r="C85" s="341" t="s">
        <v>643</v>
      </c>
      <c r="D85" s="342" t="s">
        <v>516</v>
      </c>
      <c r="E85" s="267">
        <v>44348</v>
      </c>
      <c r="F85" s="343" t="str">
        <f t="shared" ref="F85:F95" ca="1" si="16">DATEDIF(E85,$O$1,"y") &amp; " años " &amp;  DATEDIF(E85,$O$1,"YM") &amp; " meses " &amp;  DATEDIF(E85,$O$1,"MD") &amp; " días "</f>
        <v xml:space="preserve">2 años 7 meses 25 días </v>
      </c>
      <c r="G85" s="344"/>
      <c r="H85" s="344"/>
      <c r="I85" s="346"/>
      <c r="J85" s="343" t="str">
        <f t="shared" ca="1" si="7"/>
        <v xml:space="preserve">2 años 7 meses 25 días </v>
      </c>
      <c r="K85" s="343" t="str">
        <f t="shared" ca="1" si="12"/>
        <v xml:space="preserve">2 </v>
      </c>
      <c r="L85" s="389">
        <f t="shared" ca="1" si="13"/>
        <v>15</v>
      </c>
      <c r="M85" s="268">
        <v>10</v>
      </c>
      <c r="N85" s="390">
        <v>60000</v>
      </c>
      <c r="O85" s="343">
        <f t="shared" si="3"/>
        <v>2768.8047992616516</v>
      </c>
      <c r="P85" s="391">
        <f t="shared" si="15"/>
        <v>27688.047992616517</v>
      </c>
    </row>
    <row r="86" spans="1:16" ht="15" x14ac:dyDescent="0.2">
      <c r="A86" s="268">
        <v>61</v>
      </c>
      <c r="B86" s="388" t="s">
        <v>644</v>
      </c>
      <c r="C86" s="341" t="s">
        <v>645</v>
      </c>
      <c r="D86" s="342" t="s">
        <v>541</v>
      </c>
      <c r="E86" s="267">
        <v>44151</v>
      </c>
      <c r="F86" s="343" t="str">
        <f t="shared" ca="1" si="16"/>
        <v xml:space="preserve">3 años 2 meses 10 días </v>
      </c>
      <c r="G86" s="344"/>
      <c r="H86" s="344"/>
      <c r="I86" s="346"/>
      <c r="J86" s="343" t="str">
        <f t="shared" ca="1" si="7"/>
        <v xml:space="preserve">3 años 2 meses 10 días </v>
      </c>
      <c r="K86" s="343" t="str">
        <f t="shared" ca="1" si="12"/>
        <v xml:space="preserve">3 </v>
      </c>
      <c r="L86" s="389">
        <f t="shared" ca="1" si="13"/>
        <v>15</v>
      </c>
      <c r="M86" s="268">
        <v>10</v>
      </c>
      <c r="N86" s="390">
        <v>85000</v>
      </c>
      <c r="O86" s="343">
        <f t="shared" si="3"/>
        <v>3922.4734656206733</v>
      </c>
      <c r="P86" s="391">
        <f t="shared" si="15"/>
        <v>39224.734656206732</v>
      </c>
    </row>
    <row r="87" spans="1:16" ht="15" x14ac:dyDescent="0.2">
      <c r="A87" s="268">
        <v>62</v>
      </c>
      <c r="B87" s="388" t="s">
        <v>646</v>
      </c>
      <c r="C87" s="341" t="s">
        <v>647</v>
      </c>
      <c r="D87" s="342" t="s">
        <v>362</v>
      </c>
      <c r="E87" s="267">
        <v>44348</v>
      </c>
      <c r="F87" s="343" t="str">
        <f t="shared" ca="1" si="16"/>
        <v xml:space="preserve">2 años 7 meses 25 días </v>
      </c>
      <c r="G87" s="344"/>
      <c r="H87" s="344"/>
      <c r="I87" s="346"/>
      <c r="J87" s="343" t="str">
        <f t="shared" ca="1" si="7"/>
        <v xml:space="preserve">2 años 7 meses 25 días </v>
      </c>
      <c r="K87" s="343" t="str">
        <f t="shared" ca="1" si="12"/>
        <v xml:space="preserve">2 </v>
      </c>
      <c r="L87" s="389">
        <f t="shared" ca="1" si="13"/>
        <v>15</v>
      </c>
      <c r="M87" s="268">
        <v>0</v>
      </c>
      <c r="N87" s="390">
        <v>110000</v>
      </c>
      <c r="O87" s="343">
        <f t="shared" si="3"/>
        <v>5076.1421319796955</v>
      </c>
      <c r="P87" s="391">
        <f t="shared" si="15"/>
        <v>0</v>
      </c>
    </row>
    <row r="88" spans="1:16" ht="15" x14ac:dyDescent="0.2">
      <c r="A88" s="268">
        <v>63</v>
      </c>
      <c r="B88" s="388" t="s">
        <v>648</v>
      </c>
      <c r="C88" s="341" t="s">
        <v>649</v>
      </c>
      <c r="D88" s="342" t="s">
        <v>566</v>
      </c>
      <c r="E88" s="267">
        <v>41275</v>
      </c>
      <c r="F88" s="343" t="str">
        <f t="shared" ca="1" si="16"/>
        <v xml:space="preserve">11 años 0 meses 25 días </v>
      </c>
      <c r="G88" s="344"/>
      <c r="H88" s="344"/>
      <c r="I88" s="346"/>
      <c r="J88" s="343" t="str">
        <f t="shared" ca="1" si="7"/>
        <v xml:space="preserve">11 años 0 meses 25 días </v>
      </c>
      <c r="K88" s="343" t="str">
        <f t="shared" ca="1" si="12"/>
        <v xml:space="preserve">11 </v>
      </c>
      <c r="L88" s="389">
        <f t="shared" ca="1" si="13"/>
        <v>25</v>
      </c>
      <c r="M88" s="268">
        <v>19</v>
      </c>
      <c r="N88" s="390">
        <v>70200</v>
      </c>
      <c r="O88" s="343">
        <f t="shared" si="3"/>
        <v>3239.5016151361328</v>
      </c>
      <c r="P88" s="391">
        <f t="shared" si="15"/>
        <v>61550.530687586521</v>
      </c>
    </row>
    <row r="89" spans="1:16" ht="15" x14ac:dyDescent="0.2">
      <c r="A89" s="268">
        <v>64</v>
      </c>
      <c r="B89" s="388" t="s">
        <v>650</v>
      </c>
      <c r="C89" s="341" t="s">
        <v>651</v>
      </c>
      <c r="D89" s="342" t="s">
        <v>652</v>
      </c>
      <c r="E89" s="267">
        <v>44470</v>
      </c>
      <c r="F89" s="343" t="str">
        <f t="shared" ca="1" si="16"/>
        <v xml:space="preserve">2 años 3 meses 25 días </v>
      </c>
      <c r="G89" s="344"/>
      <c r="H89" s="344"/>
      <c r="I89" s="346"/>
      <c r="J89" s="343" t="str">
        <f t="shared" ca="1" si="7"/>
        <v xml:space="preserve">2 años 3 meses 25 días </v>
      </c>
      <c r="K89" s="343" t="str">
        <f t="shared" ca="1" si="12"/>
        <v xml:space="preserve">2 </v>
      </c>
      <c r="L89" s="389">
        <f t="shared" ca="1" si="13"/>
        <v>15</v>
      </c>
      <c r="M89" s="268">
        <v>19</v>
      </c>
      <c r="N89" s="390">
        <v>35000</v>
      </c>
      <c r="O89" s="343">
        <f t="shared" si="3"/>
        <v>1615.1361329026302</v>
      </c>
      <c r="P89" s="391">
        <f t="shared" si="15"/>
        <v>30687.586525149974</v>
      </c>
    </row>
    <row r="90" spans="1:16" ht="25.5" x14ac:dyDescent="0.2">
      <c r="A90" s="268">
        <v>65</v>
      </c>
      <c r="B90" s="388" t="s">
        <v>653</v>
      </c>
      <c r="C90" s="341" t="s">
        <v>654</v>
      </c>
      <c r="D90" s="342" t="s">
        <v>655</v>
      </c>
      <c r="E90" s="267">
        <v>44470</v>
      </c>
      <c r="F90" s="343" t="str">
        <f t="shared" ca="1" si="16"/>
        <v xml:space="preserve">2 años 3 meses 25 días </v>
      </c>
      <c r="G90" s="344"/>
      <c r="H90" s="344"/>
      <c r="I90" s="346"/>
      <c r="J90" s="343" t="str">
        <f t="shared" ca="1" si="7"/>
        <v xml:space="preserve">2 años 3 meses 25 días </v>
      </c>
      <c r="K90" s="343" t="str">
        <f t="shared" ca="1" si="12"/>
        <v xml:space="preserve">2 </v>
      </c>
      <c r="L90" s="389">
        <f t="shared" ca="1" si="13"/>
        <v>15</v>
      </c>
      <c r="M90" s="268">
        <v>5</v>
      </c>
      <c r="N90" s="390">
        <v>20000</v>
      </c>
      <c r="O90" s="343">
        <f t="shared" si="3"/>
        <v>922.93493308721725</v>
      </c>
      <c r="P90" s="391">
        <f t="shared" si="15"/>
        <v>4614.6746654360859</v>
      </c>
    </row>
    <row r="91" spans="1:16" ht="25.5" x14ac:dyDescent="0.2">
      <c r="A91" s="268">
        <v>66</v>
      </c>
      <c r="B91" s="388" t="s">
        <v>855</v>
      </c>
      <c r="C91" s="341" t="s">
        <v>656</v>
      </c>
      <c r="D91" s="342" t="s">
        <v>546</v>
      </c>
      <c r="E91" s="267">
        <v>38231</v>
      </c>
      <c r="F91" s="343" t="str">
        <f t="shared" ca="1" si="16"/>
        <v xml:space="preserve">19 años 4 meses 25 días </v>
      </c>
      <c r="G91" s="344"/>
      <c r="H91" s="344"/>
      <c r="I91" s="346"/>
      <c r="J91" s="343" t="str">
        <f t="shared" ca="1" si="7"/>
        <v xml:space="preserve">19 años 4 meses 25 días </v>
      </c>
      <c r="K91" s="343" t="str">
        <f t="shared" ca="1" si="12"/>
        <v xml:space="preserve">19 </v>
      </c>
      <c r="L91" s="389">
        <f t="shared" ca="1" si="13"/>
        <v>30</v>
      </c>
      <c r="M91" s="268">
        <v>25</v>
      </c>
      <c r="N91" s="390">
        <v>81000</v>
      </c>
      <c r="O91" s="343">
        <f t="shared" ref="O91:O123" si="17">N91/21.67</f>
        <v>3737.8864790032299</v>
      </c>
      <c r="P91" s="391">
        <f t="shared" si="15"/>
        <v>93447.161975080744</v>
      </c>
    </row>
    <row r="92" spans="1:16" ht="15" x14ac:dyDescent="0.2">
      <c r="A92" s="268">
        <v>67</v>
      </c>
      <c r="B92" s="388" t="s">
        <v>657</v>
      </c>
      <c r="C92" s="341" t="s">
        <v>658</v>
      </c>
      <c r="D92" s="342" t="s">
        <v>659</v>
      </c>
      <c r="E92" s="267">
        <v>42248</v>
      </c>
      <c r="F92" s="343" t="str">
        <f t="shared" ca="1" si="16"/>
        <v xml:space="preserve">8 años 4 meses 25 días </v>
      </c>
      <c r="G92" s="344"/>
      <c r="H92" s="344"/>
      <c r="I92" s="346"/>
      <c r="J92" s="343" t="str">
        <f t="shared" ca="1" si="7"/>
        <v xml:space="preserve">8 años 4 meses 25 días </v>
      </c>
      <c r="K92" s="343" t="str">
        <f t="shared" ca="1" si="12"/>
        <v xml:space="preserve">8 </v>
      </c>
      <c r="L92" s="389">
        <f t="shared" ca="1" si="13"/>
        <v>20</v>
      </c>
      <c r="M92" s="268">
        <v>10</v>
      </c>
      <c r="N92" s="390">
        <v>26700</v>
      </c>
      <c r="O92" s="343">
        <f t="shared" si="17"/>
        <v>1232.1181356714351</v>
      </c>
      <c r="P92" s="391">
        <f t="shared" si="15"/>
        <v>12321.181356714351</v>
      </c>
    </row>
    <row r="93" spans="1:16" ht="25.5" x14ac:dyDescent="0.2">
      <c r="A93" s="268">
        <v>68</v>
      </c>
      <c r="B93" s="388" t="s">
        <v>660</v>
      </c>
      <c r="C93" s="341" t="s">
        <v>661</v>
      </c>
      <c r="D93" s="342" t="s">
        <v>662</v>
      </c>
      <c r="E93" s="267">
        <v>39845</v>
      </c>
      <c r="F93" s="343" t="str">
        <f t="shared" ca="1" si="16"/>
        <v xml:space="preserve">14 años 11 meses 25 días </v>
      </c>
      <c r="G93" s="344"/>
      <c r="H93" s="344"/>
      <c r="I93" s="346"/>
      <c r="J93" s="343" t="str">
        <f t="shared" ref="J93:J123" ca="1" si="18">F93</f>
        <v xml:space="preserve">14 años 11 meses 25 días </v>
      </c>
      <c r="K93" s="343" t="str">
        <f t="shared" ca="1" si="12"/>
        <v xml:space="preserve">14 </v>
      </c>
      <c r="L93" s="389">
        <f t="shared" ca="1" si="13"/>
        <v>25</v>
      </c>
      <c r="M93" s="268">
        <v>20</v>
      </c>
      <c r="N93" s="390">
        <v>68800</v>
      </c>
      <c r="O93" s="343">
        <f t="shared" si="17"/>
        <v>3174.8961698200274</v>
      </c>
      <c r="P93" s="391">
        <f t="shared" si="15"/>
        <v>63497.923396400547</v>
      </c>
    </row>
    <row r="94" spans="1:16" ht="15" x14ac:dyDescent="0.2">
      <c r="A94" s="268">
        <v>69</v>
      </c>
      <c r="B94" s="388" t="s">
        <v>663</v>
      </c>
      <c r="C94" s="341" t="s">
        <v>664</v>
      </c>
      <c r="D94" s="342" t="s">
        <v>362</v>
      </c>
      <c r="E94" s="267">
        <v>44088</v>
      </c>
      <c r="F94" s="343" t="str">
        <f t="shared" ca="1" si="16"/>
        <v xml:space="preserve">3 años 4 meses 12 días </v>
      </c>
      <c r="G94" s="344"/>
      <c r="H94" s="344"/>
      <c r="I94" s="346"/>
      <c r="J94" s="343" t="str">
        <f t="shared" ca="1" si="18"/>
        <v xml:space="preserve">3 años 4 meses 12 días </v>
      </c>
      <c r="K94" s="343" t="str">
        <f t="shared" ca="1" si="12"/>
        <v xml:space="preserve">3 </v>
      </c>
      <c r="L94" s="389">
        <f t="shared" ca="1" si="13"/>
        <v>15</v>
      </c>
      <c r="M94" s="268">
        <v>10</v>
      </c>
      <c r="N94" s="390">
        <v>200000</v>
      </c>
      <c r="O94" s="343">
        <f t="shared" si="17"/>
        <v>9229.3493308721736</v>
      </c>
      <c r="P94" s="391">
        <f t="shared" si="15"/>
        <v>92293.493308721736</v>
      </c>
    </row>
    <row r="95" spans="1:16" ht="30" customHeight="1" x14ac:dyDescent="0.25">
      <c r="A95" s="487">
        <v>70</v>
      </c>
      <c r="B95" s="499" t="s">
        <v>665</v>
      </c>
      <c r="C95" s="502" t="s">
        <v>666</v>
      </c>
      <c r="D95" s="505" t="s">
        <v>667</v>
      </c>
      <c r="E95" s="508">
        <v>40087</v>
      </c>
      <c r="F95" s="493" t="str">
        <f t="shared" ca="1" si="16"/>
        <v xml:space="preserve">14 años 3 meses 25 días </v>
      </c>
      <c r="G95" s="350">
        <v>40087</v>
      </c>
      <c r="H95" s="350">
        <f ca="1">TODAY()</f>
        <v>45317</v>
      </c>
      <c r="I95" s="346" t="e">
        <f t="shared" ref="I95:I122" ca="1" si="19">SumAños(G95:H95)</f>
        <v>#NAME?</v>
      </c>
      <c r="J95" s="511" t="e">
        <f ca="1">SumAños(G95:H96)</f>
        <v>#NAME?</v>
      </c>
      <c r="K95" s="493" t="e">
        <f t="shared" ca="1" si="12"/>
        <v>#NAME?</v>
      </c>
      <c r="L95" s="514" t="e">
        <f t="shared" ca="1" si="13"/>
        <v>#NAME?</v>
      </c>
      <c r="M95" s="487">
        <v>25</v>
      </c>
      <c r="N95" s="490">
        <v>140000</v>
      </c>
      <c r="O95" s="493">
        <f t="shared" si="17"/>
        <v>6460.5445316105206</v>
      </c>
      <c r="P95" s="496">
        <f t="shared" si="15"/>
        <v>161513.61329026302</v>
      </c>
    </row>
    <row r="96" spans="1:16" ht="15" x14ac:dyDescent="0.25">
      <c r="A96" s="489"/>
      <c r="B96" s="501"/>
      <c r="C96" s="504"/>
      <c r="D96" s="507"/>
      <c r="E96" s="510"/>
      <c r="F96" s="495"/>
      <c r="G96" s="350">
        <v>38901</v>
      </c>
      <c r="H96" s="350">
        <v>39721</v>
      </c>
      <c r="I96" s="346" t="e">
        <f t="shared" ca="1" si="19"/>
        <v>#NAME?</v>
      </c>
      <c r="J96" s="513"/>
      <c r="K96" s="495"/>
      <c r="L96" s="516"/>
      <c r="M96" s="489"/>
      <c r="N96" s="492"/>
      <c r="O96" s="495"/>
      <c r="P96" s="498"/>
    </row>
    <row r="97" spans="1:16" ht="15" x14ac:dyDescent="0.2">
      <c r="A97" s="268">
        <v>71</v>
      </c>
      <c r="B97" s="388" t="s">
        <v>668</v>
      </c>
      <c r="C97" s="341" t="s">
        <v>669</v>
      </c>
      <c r="D97" s="342" t="s">
        <v>536</v>
      </c>
      <c r="E97" s="267">
        <v>44774</v>
      </c>
      <c r="F97" s="343" t="str">
        <f t="shared" ref="F97:F105" ca="1" si="20">DATEDIF(E97,$O$1,"y") &amp; " años " &amp;  DATEDIF(E97,$O$1,"YM") &amp; " meses " &amp;  DATEDIF(E97,$O$1,"MD") &amp; " días "</f>
        <v xml:space="preserve">1 años 5 meses 25 días </v>
      </c>
      <c r="G97" s="344"/>
      <c r="H97" s="344"/>
      <c r="I97" s="346"/>
      <c r="J97" s="343" t="str">
        <f t="shared" ca="1" si="18"/>
        <v xml:space="preserve">1 años 5 meses 25 días </v>
      </c>
      <c r="K97" s="343" t="str">
        <f t="shared" ca="1" si="12"/>
        <v xml:space="preserve">1 </v>
      </c>
      <c r="L97" s="389">
        <f t="shared" ca="1" si="13"/>
        <v>15</v>
      </c>
      <c r="M97" s="268">
        <v>0</v>
      </c>
      <c r="N97" s="390">
        <v>25000</v>
      </c>
      <c r="O97" s="343">
        <f t="shared" si="17"/>
        <v>1153.6686663590217</v>
      </c>
      <c r="P97" s="391">
        <f t="shared" si="15"/>
        <v>0</v>
      </c>
    </row>
    <row r="98" spans="1:16" ht="15" x14ac:dyDescent="0.2">
      <c r="A98" s="268">
        <v>72</v>
      </c>
      <c r="B98" s="388" t="s">
        <v>670</v>
      </c>
      <c r="C98" s="341" t="s">
        <v>671</v>
      </c>
      <c r="D98" s="342" t="s">
        <v>516</v>
      </c>
      <c r="E98" s="267">
        <v>44348</v>
      </c>
      <c r="F98" s="343" t="str">
        <f t="shared" ca="1" si="20"/>
        <v xml:space="preserve">2 años 7 meses 25 días </v>
      </c>
      <c r="G98" s="344"/>
      <c r="H98" s="344"/>
      <c r="I98" s="346"/>
      <c r="J98" s="343" t="str">
        <f t="shared" ca="1" si="18"/>
        <v xml:space="preserve">2 años 7 meses 25 días </v>
      </c>
      <c r="K98" s="343" t="str">
        <f t="shared" ca="1" si="12"/>
        <v xml:space="preserve">2 </v>
      </c>
      <c r="L98" s="389">
        <f t="shared" ca="1" si="13"/>
        <v>15</v>
      </c>
      <c r="M98" s="268">
        <v>15</v>
      </c>
      <c r="N98" s="390">
        <v>60000</v>
      </c>
      <c r="O98" s="343">
        <f t="shared" si="17"/>
        <v>2768.8047992616516</v>
      </c>
      <c r="P98" s="391">
        <f t="shared" si="15"/>
        <v>41532.071988924778</v>
      </c>
    </row>
    <row r="99" spans="1:16" ht="15" x14ac:dyDescent="0.2">
      <c r="A99" s="268">
        <v>73</v>
      </c>
      <c r="B99" s="388" t="s">
        <v>672</v>
      </c>
      <c r="C99" s="341" t="s">
        <v>673</v>
      </c>
      <c r="D99" s="342" t="s">
        <v>632</v>
      </c>
      <c r="E99" s="267">
        <v>44835</v>
      </c>
      <c r="F99" s="343" t="str">
        <f t="shared" ca="1" si="20"/>
        <v xml:space="preserve">1 años 3 meses 25 días </v>
      </c>
      <c r="G99" s="344"/>
      <c r="H99" s="344"/>
      <c r="I99" s="346"/>
      <c r="J99" s="343" t="str">
        <f t="shared" ca="1" si="18"/>
        <v xml:space="preserve">1 años 3 meses 25 días </v>
      </c>
      <c r="K99" s="343" t="str">
        <f t="shared" ca="1" si="12"/>
        <v xml:space="preserve">1 </v>
      </c>
      <c r="L99" s="389">
        <f t="shared" ca="1" si="13"/>
        <v>15</v>
      </c>
      <c r="M99" s="268">
        <v>14</v>
      </c>
      <c r="N99" s="390">
        <v>20000</v>
      </c>
      <c r="O99" s="343">
        <f t="shared" si="17"/>
        <v>922.93493308721725</v>
      </c>
      <c r="P99" s="391">
        <f t="shared" si="15"/>
        <v>12921.089063221041</v>
      </c>
    </row>
    <row r="100" spans="1:16" ht="25.5" x14ac:dyDescent="0.2">
      <c r="A100" s="268">
        <v>74</v>
      </c>
      <c r="B100" s="388" t="s">
        <v>674</v>
      </c>
      <c r="C100" s="341" t="s">
        <v>675</v>
      </c>
      <c r="D100" s="342" t="s">
        <v>676</v>
      </c>
      <c r="E100" s="267">
        <v>42644</v>
      </c>
      <c r="F100" s="343" t="str">
        <f t="shared" ca="1" si="20"/>
        <v xml:space="preserve">7 años 3 meses 25 días </v>
      </c>
      <c r="G100" s="344"/>
      <c r="H100" s="344"/>
      <c r="I100" s="346"/>
      <c r="J100" s="343" t="str">
        <f t="shared" ca="1" si="18"/>
        <v xml:space="preserve">7 años 3 meses 25 días </v>
      </c>
      <c r="K100" s="343" t="str">
        <f t="shared" ca="1" si="12"/>
        <v xml:space="preserve">7 </v>
      </c>
      <c r="L100" s="389">
        <f t="shared" ca="1" si="13"/>
        <v>20</v>
      </c>
      <c r="M100" s="268">
        <v>15</v>
      </c>
      <c r="N100" s="390">
        <v>32500</v>
      </c>
      <c r="O100" s="343">
        <f t="shared" si="17"/>
        <v>1499.769266266728</v>
      </c>
      <c r="P100" s="391">
        <f t="shared" si="15"/>
        <v>22496.538994000919</v>
      </c>
    </row>
    <row r="101" spans="1:16" ht="25.5" x14ac:dyDescent="0.2">
      <c r="A101" s="268">
        <v>75</v>
      </c>
      <c r="B101" s="388" t="s">
        <v>856</v>
      </c>
      <c r="C101" s="341" t="s">
        <v>677</v>
      </c>
      <c r="D101" s="342" t="s">
        <v>581</v>
      </c>
      <c r="E101" s="267">
        <v>44448</v>
      </c>
      <c r="F101" s="343" t="str">
        <f t="shared" ca="1" si="20"/>
        <v xml:space="preserve">2 años 4 meses 17 días </v>
      </c>
      <c r="G101" s="344"/>
      <c r="H101" s="344"/>
      <c r="I101" s="346"/>
      <c r="J101" s="343" t="str">
        <f t="shared" ca="1" si="18"/>
        <v xml:space="preserve">2 años 4 meses 17 días </v>
      </c>
      <c r="K101" s="343" t="str">
        <f t="shared" ca="1" si="12"/>
        <v xml:space="preserve">2 </v>
      </c>
      <c r="L101" s="389">
        <f t="shared" ca="1" si="13"/>
        <v>15</v>
      </c>
      <c r="M101" s="268">
        <v>13</v>
      </c>
      <c r="N101" s="390">
        <v>45000</v>
      </c>
      <c r="O101" s="343">
        <f t="shared" si="17"/>
        <v>2076.6035994462391</v>
      </c>
      <c r="P101" s="391">
        <f t="shared" si="15"/>
        <v>26995.846792801109</v>
      </c>
    </row>
    <row r="102" spans="1:16" ht="15" x14ac:dyDescent="0.2">
      <c r="A102" s="268">
        <v>76</v>
      </c>
      <c r="B102" s="388" t="s">
        <v>678</v>
      </c>
      <c r="C102" s="341" t="s">
        <v>679</v>
      </c>
      <c r="D102" s="342" t="s">
        <v>659</v>
      </c>
      <c r="E102" s="267">
        <v>40148</v>
      </c>
      <c r="F102" s="343" t="str">
        <f t="shared" ca="1" si="20"/>
        <v xml:space="preserve">14 años 1 meses 25 días </v>
      </c>
      <c r="G102" s="344"/>
      <c r="H102" s="344"/>
      <c r="I102" s="346"/>
      <c r="J102" s="343" t="str">
        <f t="shared" ca="1" si="18"/>
        <v xml:space="preserve">14 años 1 meses 25 días </v>
      </c>
      <c r="K102" s="343" t="str">
        <f t="shared" ca="1" si="12"/>
        <v xml:space="preserve">14 </v>
      </c>
      <c r="L102" s="389">
        <f t="shared" ca="1" si="13"/>
        <v>25</v>
      </c>
      <c r="M102" s="268">
        <v>5</v>
      </c>
      <c r="N102" s="390">
        <v>26700</v>
      </c>
      <c r="O102" s="343">
        <f t="shared" si="17"/>
        <v>1232.1181356714351</v>
      </c>
      <c r="P102" s="391">
        <f t="shared" si="15"/>
        <v>6160.5906783571754</v>
      </c>
    </row>
    <row r="103" spans="1:16" ht="25.5" x14ac:dyDescent="0.2">
      <c r="A103" s="268">
        <v>77</v>
      </c>
      <c r="B103" s="388" t="s">
        <v>680</v>
      </c>
      <c r="C103" s="341" t="s">
        <v>681</v>
      </c>
      <c r="D103" s="342" t="s">
        <v>556</v>
      </c>
      <c r="E103" s="267">
        <v>44958</v>
      </c>
      <c r="F103" s="343" t="str">
        <f t="shared" ca="1" si="20"/>
        <v xml:space="preserve">0 años 11 meses 25 días </v>
      </c>
      <c r="G103" s="344"/>
      <c r="H103" s="344"/>
      <c r="I103" s="346"/>
      <c r="J103" s="343" t="str">
        <f t="shared" ca="1" si="18"/>
        <v xml:space="preserve">0 años 11 meses 25 días </v>
      </c>
      <c r="K103" s="343" t="str">
        <f t="shared" ca="1" si="12"/>
        <v xml:space="preserve">0 </v>
      </c>
      <c r="L103" s="389">
        <f t="shared" ca="1" si="13"/>
        <v>0</v>
      </c>
      <c r="M103" s="268">
        <v>10</v>
      </c>
      <c r="N103" s="390">
        <v>35000</v>
      </c>
      <c r="O103" s="393">
        <f t="shared" si="17"/>
        <v>1615.1361329026302</v>
      </c>
      <c r="P103" s="391">
        <f t="shared" si="15"/>
        <v>16151.361329026302</v>
      </c>
    </row>
    <row r="104" spans="1:16" ht="15" x14ac:dyDescent="0.2">
      <c r="A104" s="268">
        <v>78</v>
      </c>
      <c r="B104" s="388" t="s">
        <v>682</v>
      </c>
      <c r="C104" s="341" t="s">
        <v>683</v>
      </c>
      <c r="D104" s="342" t="s">
        <v>519</v>
      </c>
      <c r="E104" s="267">
        <v>44713</v>
      </c>
      <c r="F104" s="343" t="str">
        <f t="shared" ca="1" si="20"/>
        <v xml:space="preserve">1 años 7 meses 25 días </v>
      </c>
      <c r="G104" s="344"/>
      <c r="H104" s="344"/>
      <c r="I104" s="346"/>
      <c r="J104" s="343" t="str">
        <f t="shared" ca="1" si="18"/>
        <v xml:space="preserve">1 años 7 meses 25 días </v>
      </c>
      <c r="K104" s="343" t="str">
        <f t="shared" ca="1" si="12"/>
        <v xml:space="preserve">1 </v>
      </c>
      <c r="L104" s="389">
        <f t="shared" ca="1" si="13"/>
        <v>15</v>
      </c>
      <c r="M104" s="268">
        <v>0</v>
      </c>
      <c r="N104" s="390">
        <v>20000</v>
      </c>
      <c r="O104" s="343">
        <f t="shared" si="17"/>
        <v>922.93493308721725</v>
      </c>
      <c r="P104" s="391">
        <f t="shared" si="15"/>
        <v>0</v>
      </c>
    </row>
    <row r="105" spans="1:16" ht="15" x14ac:dyDescent="0.25">
      <c r="A105" s="487">
        <v>79</v>
      </c>
      <c r="B105" s="499" t="s">
        <v>857</v>
      </c>
      <c r="C105" s="502" t="s">
        <v>684</v>
      </c>
      <c r="D105" s="505" t="s">
        <v>685</v>
      </c>
      <c r="E105" s="508">
        <v>41153</v>
      </c>
      <c r="F105" s="493" t="str">
        <f t="shared" ca="1" si="20"/>
        <v xml:space="preserve">11 años 4 meses 25 días </v>
      </c>
      <c r="G105" s="350">
        <v>41153</v>
      </c>
      <c r="H105" s="350">
        <f ca="1">TODAY()</f>
        <v>45317</v>
      </c>
      <c r="I105" s="346" t="e">
        <f t="shared" ca="1" si="19"/>
        <v>#NAME?</v>
      </c>
      <c r="J105" s="511" t="e">
        <f ca="1">SumAños(G105:H108)</f>
        <v>#NAME?</v>
      </c>
      <c r="K105" s="493" t="e">
        <f t="shared" ca="1" si="12"/>
        <v>#NAME?</v>
      </c>
      <c r="L105" s="514" t="e">
        <f ca="1">IF(AND(_xlfn.NUMBERVALUE(K105)&gt;=1,_xlfn.NUMBERVALUE(K105)&lt;=4.99),(15),IF(AND(_xlfn.NUMBERVALUE(K105)&gt;=5,_xlfn.NUMBERVALUE(K105)&lt;=9.99),(20),IF(AND(_xlfn.NUMBERVALUE(K105)&gt;=10,_xlfn.NUMBERVALUE(K105)&lt;=14.99),(25),IF(_xlfn.NUMBERVALUE(K105)&gt;=15,(30),0))))</f>
        <v>#NAME?</v>
      </c>
      <c r="M105" s="487">
        <v>24</v>
      </c>
      <c r="N105" s="490">
        <v>345000</v>
      </c>
      <c r="O105" s="493">
        <f t="shared" si="17"/>
        <v>15920.627595754499</v>
      </c>
      <c r="P105" s="496">
        <f t="shared" si="15"/>
        <v>382095.06229810795</v>
      </c>
    </row>
    <row r="106" spans="1:16" ht="15" x14ac:dyDescent="0.25">
      <c r="A106" s="488"/>
      <c r="B106" s="500"/>
      <c r="C106" s="503"/>
      <c r="D106" s="506"/>
      <c r="E106" s="509"/>
      <c r="F106" s="494"/>
      <c r="G106" s="350">
        <v>40634</v>
      </c>
      <c r="H106" s="350">
        <v>41122</v>
      </c>
      <c r="I106" s="346" t="e">
        <f t="shared" ca="1" si="19"/>
        <v>#NAME?</v>
      </c>
      <c r="J106" s="512"/>
      <c r="K106" s="494"/>
      <c r="L106" s="515"/>
      <c r="M106" s="488"/>
      <c r="N106" s="491"/>
      <c r="O106" s="494"/>
      <c r="P106" s="497"/>
    </row>
    <row r="107" spans="1:16" ht="15" x14ac:dyDescent="0.25">
      <c r="A107" s="488"/>
      <c r="B107" s="500"/>
      <c r="C107" s="503"/>
      <c r="D107" s="506"/>
      <c r="E107" s="509"/>
      <c r="F107" s="494"/>
      <c r="G107" s="350">
        <v>38224</v>
      </c>
      <c r="H107" s="350">
        <v>39692</v>
      </c>
      <c r="I107" s="346" t="e">
        <f t="shared" ca="1" si="19"/>
        <v>#NAME?</v>
      </c>
      <c r="J107" s="512"/>
      <c r="K107" s="494"/>
      <c r="L107" s="515"/>
      <c r="M107" s="488"/>
      <c r="N107" s="491"/>
      <c r="O107" s="494"/>
      <c r="P107" s="497"/>
    </row>
    <row r="108" spans="1:16" ht="15" x14ac:dyDescent="0.25">
      <c r="A108" s="489"/>
      <c r="B108" s="501"/>
      <c r="C108" s="504"/>
      <c r="D108" s="507"/>
      <c r="E108" s="510"/>
      <c r="F108" s="495"/>
      <c r="G108" s="350">
        <v>36353</v>
      </c>
      <c r="H108" s="350">
        <v>36740</v>
      </c>
      <c r="I108" s="346" t="e">
        <f t="shared" ca="1" si="19"/>
        <v>#NAME?</v>
      </c>
      <c r="J108" s="513"/>
      <c r="K108" s="495"/>
      <c r="L108" s="516"/>
      <c r="M108" s="489"/>
      <c r="N108" s="492"/>
      <c r="O108" s="495"/>
      <c r="P108" s="498"/>
    </row>
    <row r="109" spans="1:16" ht="15" x14ac:dyDescent="0.2">
      <c r="A109" s="268">
        <v>80</v>
      </c>
      <c r="B109" s="388" t="s">
        <v>686</v>
      </c>
      <c r="C109" s="341" t="s">
        <v>687</v>
      </c>
      <c r="D109" s="342" t="s">
        <v>362</v>
      </c>
      <c r="E109" s="267">
        <v>39845</v>
      </c>
      <c r="F109" s="343" t="str">
        <f ca="1">DATEDIF(E109,$O$1,"y") &amp; " años " &amp;  DATEDIF(E109,$O$1,"YM") &amp; " meses " &amp;  DATEDIF(E109,$O$1,"MD") &amp; " días "</f>
        <v xml:space="preserve">14 años 11 meses 25 días </v>
      </c>
      <c r="G109" s="344"/>
      <c r="H109" s="344"/>
      <c r="I109" s="346"/>
      <c r="J109" s="343" t="str">
        <f t="shared" ca="1" si="18"/>
        <v xml:space="preserve">14 años 11 meses 25 días </v>
      </c>
      <c r="K109" s="343" t="str">
        <f t="shared" ca="1" si="12"/>
        <v xml:space="preserve">14 </v>
      </c>
      <c r="L109" s="389">
        <f t="shared" ca="1" si="13"/>
        <v>25</v>
      </c>
      <c r="M109" s="268">
        <v>20</v>
      </c>
      <c r="N109" s="390">
        <v>90000</v>
      </c>
      <c r="O109" s="343">
        <f t="shared" si="17"/>
        <v>4153.2071988924781</v>
      </c>
      <c r="P109" s="391">
        <f t="shared" si="15"/>
        <v>83064.14397784957</v>
      </c>
    </row>
    <row r="110" spans="1:16" ht="15" x14ac:dyDescent="0.25">
      <c r="A110" s="487">
        <v>81</v>
      </c>
      <c r="B110" s="499" t="s">
        <v>688</v>
      </c>
      <c r="C110" s="502" t="s">
        <v>689</v>
      </c>
      <c r="D110" s="505" t="s">
        <v>516</v>
      </c>
      <c r="E110" s="508">
        <v>44470</v>
      </c>
      <c r="F110" s="493" t="str">
        <f ca="1">DATEDIF(E110,$O$1,"y") &amp; " años " &amp;  DATEDIF(E110,$O$1,"YM") &amp; " meses " &amp;  DATEDIF(E110,$O$1,"MD") &amp; " días "</f>
        <v xml:space="preserve">2 años 3 meses 25 días </v>
      </c>
      <c r="G110" s="350">
        <v>44470</v>
      </c>
      <c r="H110" s="350">
        <f ca="1">TODAY()</f>
        <v>45317</v>
      </c>
      <c r="I110" s="346" t="e">
        <f t="shared" ca="1" si="19"/>
        <v>#NAME?</v>
      </c>
      <c r="J110" s="511" t="e">
        <f ca="1">SumAños(G110:H112)</f>
        <v>#NAME?</v>
      </c>
      <c r="K110" s="493" t="e">
        <f t="shared" ca="1" si="12"/>
        <v>#NAME?</v>
      </c>
      <c r="L110" s="514" t="e">
        <f t="shared" ca="1" si="13"/>
        <v>#NAME?</v>
      </c>
      <c r="M110" s="487">
        <v>14</v>
      </c>
      <c r="N110" s="490">
        <v>60000</v>
      </c>
      <c r="O110" s="493">
        <f t="shared" si="17"/>
        <v>2768.8047992616516</v>
      </c>
      <c r="P110" s="496">
        <f t="shared" si="15"/>
        <v>38763.267189663122</v>
      </c>
    </row>
    <row r="111" spans="1:16" ht="15" x14ac:dyDescent="0.25">
      <c r="A111" s="488"/>
      <c r="B111" s="500"/>
      <c r="C111" s="503"/>
      <c r="D111" s="506"/>
      <c r="E111" s="509"/>
      <c r="F111" s="494"/>
      <c r="G111" s="350">
        <v>42430</v>
      </c>
      <c r="H111" s="350">
        <v>44537</v>
      </c>
      <c r="I111" s="346" t="e">
        <f t="shared" ca="1" si="19"/>
        <v>#NAME?</v>
      </c>
      <c r="J111" s="512"/>
      <c r="K111" s="494"/>
      <c r="L111" s="515"/>
      <c r="M111" s="488"/>
      <c r="N111" s="491"/>
      <c r="O111" s="494"/>
      <c r="P111" s="497"/>
    </row>
    <row r="112" spans="1:16" ht="15" x14ac:dyDescent="0.25">
      <c r="A112" s="489"/>
      <c r="B112" s="501"/>
      <c r="C112" s="504"/>
      <c r="D112" s="507"/>
      <c r="E112" s="510"/>
      <c r="F112" s="495"/>
      <c r="G112" s="350">
        <v>32341</v>
      </c>
      <c r="H112" s="350">
        <v>36896</v>
      </c>
      <c r="I112" s="346" t="e">
        <f t="shared" ca="1" si="19"/>
        <v>#NAME?</v>
      </c>
      <c r="J112" s="513"/>
      <c r="K112" s="495"/>
      <c r="L112" s="516"/>
      <c r="M112" s="489"/>
      <c r="N112" s="492"/>
      <c r="O112" s="495"/>
      <c r="P112" s="498"/>
    </row>
    <row r="113" spans="1:17" ht="30" customHeight="1" x14ac:dyDescent="0.25">
      <c r="A113" s="487">
        <v>82</v>
      </c>
      <c r="B113" s="499" t="s">
        <v>690</v>
      </c>
      <c r="C113" s="540" t="s">
        <v>691</v>
      </c>
      <c r="D113" s="542" t="s">
        <v>692</v>
      </c>
      <c r="E113" s="544">
        <v>44459</v>
      </c>
      <c r="F113" s="493" t="str">
        <f ca="1">DATEDIF(E113,$O$1,"y") &amp; " años " &amp;  DATEDIF(E113,$O$1,"YM") &amp; " meses " &amp;  DATEDIF(E113,$O$1,"MD") &amp; " días "</f>
        <v xml:space="preserve">2 años 4 meses 6 días </v>
      </c>
      <c r="G113" s="350">
        <v>44459</v>
      </c>
      <c r="H113" s="350">
        <f ca="1">TODAY()</f>
        <v>45317</v>
      </c>
      <c r="I113" s="346" t="e">
        <f t="shared" ca="1" si="19"/>
        <v>#NAME?</v>
      </c>
      <c r="J113" s="511" t="e">
        <f ca="1">SumAños(G113:H114)</f>
        <v>#NAME?</v>
      </c>
      <c r="K113" s="493" t="e">
        <f t="shared" ca="1" si="12"/>
        <v>#NAME?</v>
      </c>
      <c r="L113" s="514" t="e">
        <f t="shared" ca="1" si="13"/>
        <v>#NAME?</v>
      </c>
      <c r="M113" s="487">
        <v>20</v>
      </c>
      <c r="N113" s="538">
        <v>80000</v>
      </c>
      <c r="O113" s="493">
        <f t="shared" si="17"/>
        <v>3691.739732348869</v>
      </c>
      <c r="P113" s="496">
        <f t="shared" si="15"/>
        <v>73834.794646977374</v>
      </c>
    </row>
    <row r="114" spans="1:17" ht="15" x14ac:dyDescent="0.25">
      <c r="A114" s="489"/>
      <c r="B114" s="501"/>
      <c r="C114" s="541"/>
      <c r="D114" s="543"/>
      <c r="E114" s="545"/>
      <c r="F114" s="495"/>
      <c r="G114" s="353">
        <v>40575</v>
      </c>
      <c r="H114" s="350">
        <v>44093</v>
      </c>
      <c r="I114" s="346" t="e">
        <f t="shared" ca="1" si="19"/>
        <v>#NAME?</v>
      </c>
      <c r="J114" s="513"/>
      <c r="K114" s="495"/>
      <c r="L114" s="516"/>
      <c r="M114" s="489"/>
      <c r="N114" s="539"/>
      <c r="O114" s="495"/>
      <c r="P114" s="498"/>
    </row>
    <row r="115" spans="1:17" ht="25.5" x14ac:dyDescent="0.2">
      <c r="A115" s="268">
        <v>83</v>
      </c>
      <c r="B115" s="388" t="s">
        <v>693</v>
      </c>
      <c r="C115" s="341" t="s">
        <v>694</v>
      </c>
      <c r="D115" s="342" t="s">
        <v>588</v>
      </c>
      <c r="E115" s="267">
        <v>38392</v>
      </c>
      <c r="F115" s="343" t="str">
        <f ca="1">DATEDIF(E115,$O$1,"y") &amp; " años " &amp;  DATEDIF(E115,$O$1,"YM") &amp; " meses " &amp;  DATEDIF(E115,$O$1,"MD") &amp; " días "</f>
        <v xml:space="preserve">18 años 11 meses 17 días </v>
      </c>
      <c r="G115" s="344"/>
      <c r="H115" s="344"/>
      <c r="I115" s="346"/>
      <c r="J115" s="343" t="str">
        <f t="shared" ca="1" si="18"/>
        <v xml:space="preserve">18 años 11 meses 17 días </v>
      </c>
      <c r="K115" s="343" t="str">
        <f t="shared" ca="1" si="12"/>
        <v xml:space="preserve">18 </v>
      </c>
      <c r="L115" s="389">
        <f t="shared" ca="1" si="13"/>
        <v>30</v>
      </c>
      <c r="M115" s="268">
        <v>25</v>
      </c>
      <c r="N115" s="390">
        <v>60000</v>
      </c>
      <c r="O115" s="343">
        <f t="shared" si="17"/>
        <v>2768.8047992616516</v>
      </c>
      <c r="P115" s="391">
        <f t="shared" si="15"/>
        <v>69220.119981541284</v>
      </c>
    </row>
    <row r="116" spans="1:17" ht="15" x14ac:dyDescent="0.2">
      <c r="A116" s="268">
        <v>84</v>
      </c>
      <c r="B116" s="388" t="s">
        <v>695</v>
      </c>
      <c r="C116" s="341" t="s">
        <v>696</v>
      </c>
      <c r="D116" s="342" t="s">
        <v>697</v>
      </c>
      <c r="E116" s="267">
        <v>38272</v>
      </c>
      <c r="F116" s="343" t="str">
        <f ca="1">DATEDIF(E116,$O$1,"y") &amp; " años " &amp;  DATEDIF(E116,$O$1,"YM") &amp; " meses " &amp;  DATEDIF(E116,$O$1,"MD") &amp; " días "</f>
        <v xml:space="preserve">19 años 3 meses 14 días </v>
      </c>
      <c r="G116" s="344"/>
      <c r="H116" s="344"/>
      <c r="I116" s="346"/>
      <c r="J116" s="343" t="str">
        <f t="shared" ca="1" si="18"/>
        <v xml:space="preserve">19 años 3 meses 14 días </v>
      </c>
      <c r="K116" s="343" t="str">
        <f t="shared" ca="1" si="12"/>
        <v xml:space="preserve">19 </v>
      </c>
      <c r="L116" s="389">
        <f t="shared" ca="1" si="13"/>
        <v>30</v>
      </c>
      <c r="M116" s="268">
        <v>26</v>
      </c>
      <c r="N116" s="390">
        <v>150000</v>
      </c>
      <c r="O116" s="343">
        <f t="shared" si="17"/>
        <v>6922.0119981541293</v>
      </c>
      <c r="P116" s="391">
        <f t="shared" si="15"/>
        <v>179972.31195200735</v>
      </c>
    </row>
    <row r="117" spans="1:17" ht="15" x14ac:dyDescent="0.2">
      <c r="A117" s="268">
        <v>85</v>
      </c>
      <c r="B117" s="388" t="s">
        <v>698</v>
      </c>
      <c r="C117" s="341" t="s">
        <v>699</v>
      </c>
      <c r="D117" s="342" t="s">
        <v>519</v>
      </c>
      <c r="E117" s="267">
        <v>44713</v>
      </c>
      <c r="F117" s="343" t="str">
        <f ca="1">DATEDIF(E117,$O$1,"y") &amp; " años " &amp;  DATEDIF(E117,$O$1,"YM") &amp; " meses " &amp;  DATEDIF(E117,$O$1,"MD") &amp; " días "</f>
        <v xml:space="preserve">1 años 7 meses 25 días </v>
      </c>
      <c r="G117" s="344"/>
      <c r="H117" s="344"/>
      <c r="I117" s="346"/>
      <c r="J117" s="343" t="str">
        <f t="shared" ca="1" si="18"/>
        <v xml:space="preserve">1 años 7 meses 25 días </v>
      </c>
      <c r="K117" s="343" t="str">
        <f t="shared" ca="1" si="12"/>
        <v xml:space="preserve">1 </v>
      </c>
      <c r="L117" s="389">
        <f t="shared" ca="1" si="13"/>
        <v>15</v>
      </c>
      <c r="M117" s="268">
        <v>12</v>
      </c>
      <c r="N117" s="390">
        <v>20000</v>
      </c>
      <c r="O117" s="343">
        <f t="shared" si="17"/>
        <v>922.93493308721725</v>
      </c>
      <c r="P117" s="391">
        <f t="shared" si="15"/>
        <v>11075.219197046606</v>
      </c>
    </row>
    <row r="118" spans="1:17" ht="15" x14ac:dyDescent="0.2">
      <c r="A118" s="268">
        <v>86</v>
      </c>
      <c r="B118" s="388" t="s">
        <v>700</v>
      </c>
      <c r="C118" s="341" t="s">
        <v>701</v>
      </c>
      <c r="D118" s="342" t="s">
        <v>362</v>
      </c>
      <c r="E118" s="267">
        <v>42767</v>
      </c>
      <c r="F118" s="343" t="str">
        <f ca="1">DATEDIF(E118,$O$1,"y") &amp; " años " &amp;  DATEDIF(E118,$O$1,"YM") &amp; " meses " &amp;  DATEDIF(E118,$O$1,"MD") &amp; " días "</f>
        <v xml:space="preserve">6 años 11 meses 25 días </v>
      </c>
      <c r="G118" s="344"/>
      <c r="H118" s="344"/>
      <c r="I118" s="346"/>
      <c r="J118" s="343" t="str">
        <f t="shared" ca="1" si="18"/>
        <v xml:space="preserve">6 años 11 meses 25 días </v>
      </c>
      <c r="K118" s="343" t="str">
        <f t="shared" ca="1" si="12"/>
        <v xml:space="preserve">6 </v>
      </c>
      <c r="L118" s="389">
        <f t="shared" ca="1" si="13"/>
        <v>20</v>
      </c>
      <c r="M118" s="268">
        <v>15</v>
      </c>
      <c r="N118" s="390">
        <v>95000</v>
      </c>
      <c r="O118" s="343">
        <f t="shared" si="17"/>
        <v>4383.9409321642825</v>
      </c>
      <c r="P118" s="391">
        <f t="shared" si="15"/>
        <v>65759.113982464231</v>
      </c>
    </row>
    <row r="119" spans="1:17" ht="15" x14ac:dyDescent="0.25">
      <c r="A119" s="487">
        <v>87</v>
      </c>
      <c r="B119" s="499" t="s">
        <v>702</v>
      </c>
      <c r="C119" s="502" t="s">
        <v>703</v>
      </c>
      <c r="D119" s="505" t="s">
        <v>536</v>
      </c>
      <c r="E119" s="508">
        <v>43252</v>
      </c>
      <c r="F119" s="493" t="str">
        <f ca="1">DATEDIF(E119,$O$1,"y") &amp; " años " &amp;  DATEDIF(E119,$O$1,"YM") &amp; " meses " &amp;  DATEDIF(E119,$O$1,"MD") &amp; " días "</f>
        <v xml:space="preserve">5 años 7 meses 25 días </v>
      </c>
      <c r="G119" s="350">
        <v>43252</v>
      </c>
      <c r="H119" s="350">
        <f ca="1">TODAY()</f>
        <v>45317</v>
      </c>
      <c r="I119" s="346" t="e">
        <f t="shared" ca="1" si="19"/>
        <v>#NAME?</v>
      </c>
      <c r="J119" s="511" t="e">
        <f ca="1">SumAños(G119:H122)</f>
        <v>#NAME?</v>
      </c>
      <c r="K119" s="493" t="e">
        <f t="shared" ca="1" si="12"/>
        <v>#NAME?</v>
      </c>
      <c r="L119" s="514" t="e">
        <f t="shared" ca="1" si="13"/>
        <v>#NAME?</v>
      </c>
      <c r="M119" s="487">
        <v>15</v>
      </c>
      <c r="N119" s="490">
        <v>25000</v>
      </c>
      <c r="O119" s="493">
        <f t="shared" si="17"/>
        <v>1153.6686663590217</v>
      </c>
      <c r="P119" s="496">
        <f t="shared" si="15"/>
        <v>17305.029995385325</v>
      </c>
    </row>
    <row r="120" spans="1:17" ht="15" x14ac:dyDescent="0.25">
      <c r="A120" s="488"/>
      <c r="B120" s="500"/>
      <c r="C120" s="503"/>
      <c r="D120" s="506"/>
      <c r="E120" s="509"/>
      <c r="F120" s="494"/>
      <c r="G120" s="350">
        <v>41791</v>
      </c>
      <c r="H120" s="350">
        <v>42186</v>
      </c>
      <c r="I120" s="346" t="e">
        <f t="shared" ca="1" si="19"/>
        <v>#NAME?</v>
      </c>
      <c r="J120" s="512"/>
      <c r="K120" s="494"/>
      <c r="L120" s="515"/>
      <c r="M120" s="488"/>
      <c r="N120" s="491"/>
      <c r="O120" s="494"/>
      <c r="P120" s="497"/>
    </row>
    <row r="121" spans="1:17" ht="15" x14ac:dyDescent="0.25">
      <c r="A121" s="488"/>
      <c r="B121" s="500"/>
      <c r="C121" s="503"/>
      <c r="D121" s="506"/>
      <c r="E121" s="509"/>
      <c r="F121" s="494"/>
      <c r="G121" s="350">
        <v>42309</v>
      </c>
      <c r="H121" s="350">
        <v>43276</v>
      </c>
      <c r="I121" s="346" t="e">
        <f t="shared" ca="1" si="19"/>
        <v>#NAME?</v>
      </c>
      <c r="J121" s="512"/>
      <c r="K121" s="494"/>
      <c r="L121" s="515"/>
      <c r="M121" s="488"/>
      <c r="N121" s="491"/>
      <c r="O121" s="494"/>
      <c r="P121" s="497"/>
    </row>
    <row r="122" spans="1:17" ht="15" x14ac:dyDescent="0.25">
      <c r="A122" s="489"/>
      <c r="B122" s="501"/>
      <c r="C122" s="504"/>
      <c r="D122" s="507"/>
      <c r="E122" s="510"/>
      <c r="F122" s="495"/>
      <c r="G122" s="350">
        <v>38231</v>
      </c>
      <c r="H122" s="350">
        <v>41275</v>
      </c>
      <c r="I122" s="346" t="e">
        <f t="shared" ca="1" si="19"/>
        <v>#NAME?</v>
      </c>
      <c r="J122" s="513"/>
      <c r="K122" s="495"/>
      <c r="L122" s="516"/>
      <c r="M122" s="489"/>
      <c r="N122" s="492"/>
      <c r="O122" s="495"/>
      <c r="P122" s="498"/>
    </row>
    <row r="123" spans="1:17" ht="15.75" thickBot="1" x14ac:dyDescent="0.25">
      <c r="A123" s="268">
        <v>88</v>
      </c>
      <c r="B123" s="388" t="s">
        <v>704</v>
      </c>
      <c r="C123" s="341" t="s">
        <v>705</v>
      </c>
      <c r="D123" s="342" t="s">
        <v>516</v>
      </c>
      <c r="E123" s="267">
        <v>41275</v>
      </c>
      <c r="F123" s="343" t="str">
        <f ca="1">DATEDIF(E123,$O$1,"y") &amp; " años " &amp;  DATEDIF(E123,$O$1,"YM") &amp; " meses " &amp;  DATEDIF(E123,$O$1,"MD") &amp; " días "</f>
        <v xml:space="preserve">11 años 0 meses 25 días </v>
      </c>
      <c r="G123" s="344"/>
      <c r="H123" s="344"/>
      <c r="I123" s="346"/>
      <c r="J123" s="343" t="str">
        <f t="shared" ca="1" si="18"/>
        <v xml:space="preserve">11 años 0 meses 25 días </v>
      </c>
      <c r="K123" s="343" t="str">
        <f t="shared" ca="1" si="12"/>
        <v xml:space="preserve">11 </v>
      </c>
      <c r="L123" s="389">
        <f t="shared" ca="1" si="13"/>
        <v>25</v>
      </c>
      <c r="M123" s="268">
        <v>18</v>
      </c>
      <c r="N123" s="390">
        <v>60000</v>
      </c>
      <c r="O123" s="343">
        <f t="shared" si="17"/>
        <v>2768.8047992616516</v>
      </c>
      <c r="P123" s="392">
        <f t="shared" si="15"/>
        <v>49838.48638670973</v>
      </c>
    </row>
    <row r="124" spans="1:17" ht="15.75" thickBot="1" x14ac:dyDescent="0.25">
      <c r="A124" s="271"/>
      <c r="B124" s="269"/>
      <c r="C124" s="354"/>
      <c r="D124" s="272"/>
      <c r="E124" s="271"/>
      <c r="F124" s="271"/>
      <c r="G124" s="269"/>
      <c r="H124" s="269"/>
      <c r="I124" s="269"/>
      <c r="J124" s="271"/>
      <c r="K124" s="271"/>
      <c r="L124" s="271"/>
      <c r="M124" s="271"/>
      <c r="P124" s="395">
        <f>SUM(P3:P123)</f>
        <v>6713225.657591139</v>
      </c>
      <c r="Q124" s="269"/>
    </row>
    <row r="125" spans="1:17" x14ac:dyDescent="0.2">
      <c r="P125" s="396" t="s">
        <v>858</v>
      </c>
    </row>
    <row r="126" spans="1:17" ht="16.5" thickBot="1" x14ac:dyDescent="0.25">
      <c r="P126" s="397">
        <f>+P124/12</f>
        <v>559435.47146592825</v>
      </c>
    </row>
    <row r="127" spans="1:17" ht="13.5" thickTop="1" x14ac:dyDescent="0.2"/>
    <row r="128" spans="1:17" ht="15.75" x14ac:dyDescent="0.2">
      <c r="P128" s="398"/>
    </row>
    <row r="129" spans="14:16" ht="15.75" x14ac:dyDescent="0.2">
      <c r="N129" s="355" t="s">
        <v>859</v>
      </c>
      <c r="P129" s="398">
        <v>779016</v>
      </c>
    </row>
    <row r="130" spans="14:16" ht="15.75" x14ac:dyDescent="0.2">
      <c r="N130" s="355" t="s">
        <v>860</v>
      </c>
      <c r="P130" s="398">
        <f>+P126</f>
        <v>559435.47146592825</v>
      </c>
    </row>
    <row r="131" spans="14:16" ht="15.75" x14ac:dyDescent="0.2">
      <c r="N131" s="355" t="s">
        <v>861</v>
      </c>
      <c r="P131" s="399">
        <f>+P129-P130</f>
        <v>219580.52853407175</v>
      </c>
    </row>
    <row r="132" spans="14:16" ht="15.75" x14ac:dyDescent="0.2">
      <c r="P132" s="398"/>
    </row>
    <row r="133" spans="14:16" ht="15.75" x14ac:dyDescent="0.2">
      <c r="P133" s="398"/>
    </row>
    <row r="134" spans="14:16" ht="15.75" x14ac:dyDescent="0.2">
      <c r="P134" s="398"/>
    </row>
  </sheetData>
  <mergeCells count="274">
    <mergeCell ref="P113:P114"/>
    <mergeCell ref="P119:P122"/>
    <mergeCell ref="P64:P65"/>
    <mergeCell ref="P66:P69"/>
    <mergeCell ref="P71:P72"/>
    <mergeCell ref="P74:P75"/>
    <mergeCell ref="P77:P78"/>
    <mergeCell ref="P82:P84"/>
    <mergeCell ref="P95:P96"/>
    <mergeCell ref="P105:P108"/>
    <mergeCell ref="P110:P112"/>
    <mergeCell ref="P14:P16"/>
    <mergeCell ref="P20:P21"/>
    <mergeCell ref="P29:P31"/>
    <mergeCell ref="P37:P38"/>
    <mergeCell ref="P39:P40"/>
    <mergeCell ref="P41:P42"/>
    <mergeCell ref="P47:P48"/>
    <mergeCell ref="P60:P61"/>
    <mergeCell ref="P62:P63"/>
    <mergeCell ref="P51:P54"/>
    <mergeCell ref="N113:N114"/>
    <mergeCell ref="O113:O114"/>
    <mergeCell ref="A119:A122"/>
    <mergeCell ref="B119:B122"/>
    <mergeCell ref="C119:C122"/>
    <mergeCell ref="D119:D122"/>
    <mergeCell ref="E119:E122"/>
    <mergeCell ref="F119:F122"/>
    <mergeCell ref="J119:J122"/>
    <mergeCell ref="K119:K122"/>
    <mergeCell ref="L119:L122"/>
    <mergeCell ref="M119:M122"/>
    <mergeCell ref="N119:N122"/>
    <mergeCell ref="O119:O122"/>
    <mergeCell ref="F113:F114"/>
    <mergeCell ref="J113:J114"/>
    <mergeCell ref="K113:K114"/>
    <mergeCell ref="L113:L114"/>
    <mergeCell ref="M113:M114"/>
    <mergeCell ref="A113:A114"/>
    <mergeCell ref="B113:B114"/>
    <mergeCell ref="C113:C114"/>
    <mergeCell ref="D113:D114"/>
    <mergeCell ref="E113:E114"/>
    <mergeCell ref="N105:N108"/>
    <mergeCell ref="O105:O108"/>
    <mergeCell ref="A110:A112"/>
    <mergeCell ref="B110:B112"/>
    <mergeCell ref="C110:C112"/>
    <mergeCell ref="D110:D112"/>
    <mergeCell ref="E110:E112"/>
    <mergeCell ref="F110:F112"/>
    <mergeCell ref="J110:J112"/>
    <mergeCell ref="K110:K112"/>
    <mergeCell ref="L110:L112"/>
    <mergeCell ref="M110:M112"/>
    <mergeCell ref="N110:N112"/>
    <mergeCell ref="O110:O112"/>
    <mergeCell ref="F105:F108"/>
    <mergeCell ref="J105:J108"/>
    <mergeCell ref="K105:K108"/>
    <mergeCell ref="L105:L108"/>
    <mergeCell ref="M105:M108"/>
    <mergeCell ref="A105:A108"/>
    <mergeCell ref="B105:B108"/>
    <mergeCell ref="C105:C108"/>
    <mergeCell ref="D105:D108"/>
    <mergeCell ref="E105:E108"/>
    <mergeCell ref="N82:N84"/>
    <mergeCell ref="O82:O84"/>
    <mergeCell ref="A95:A96"/>
    <mergeCell ref="B95:B96"/>
    <mergeCell ref="C95:C96"/>
    <mergeCell ref="D95:D96"/>
    <mergeCell ref="E95:E96"/>
    <mergeCell ref="F95:F96"/>
    <mergeCell ref="J95:J96"/>
    <mergeCell ref="K95:K96"/>
    <mergeCell ref="L95:L96"/>
    <mergeCell ref="M95:M96"/>
    <mergeCell ref="N95:N96"/>
    <mergeCell ref="O95:O96"/>
    <mergeCell ref="F82:F84"/>
    <mergeCell ref="J82:J84"/>
    <mergeCell ref="K82:K84"/>
    <mergeCell ref="L82:L84"/>
    <mergeCell ref="M82:M84"/>
    <mergeCell ref="A82:A84"/>
    <mergeCell ref="B82:B84"/>
    <mergeCell ref="C82:C84"/>
    <mergeCell ref="D82:D84"/>
    <mergeCell ref="E82:E84"/>
    <mergeCell ref="N74:N75"/>
    <mergeCell ref="O74:O75"/>
    <mergeCell ref="A77:A78"/>
    <mergeCell ref="B77:B78"/>
    <mergeCell ref="C77:C78"/>
    <mergeCell ref="D77:D78"/>
    <mergeCell ref="E77:E78"/>
    <mergeCell ref="F77:F78"/>
    <mergeCell ref="J77:J78"/>
    <mergeCell ref="K77:K78"/>
    <mergeCell ref="L77:L78"/>
    <mergeCell ref="M77:M78"/>
    <mergeCell ref="N77:N78"/>
    <mergeCell ref="O77:O78"/>
    <mergeCell ref="F74:F75"/>
    <mergeCell ref="J74:J75"/>
    <mergeCell ref="K74:K75"/>
    <mergeCell ref="L74:L75"/>
    <mergeCell ref="M74:M75"/>
    <mergeCell ref="A74:A75"/>
    <mergeCell ref="B74:B75"/>
    <mergeCell ref="C74:C75"/>
    <mergeCell ref="D74:D75"/>
    <mergeCell ref="E74:E75"/>
    <mergeCell ref="N66:N69"/>
    <mergeCell ref="O66:O69"/>
    <mergeCell ref="A71:A72"/>
    <mergeCell ref="B71:B72"/>
    <mergeCell ref="C71:C72"/>
    <mergeCell ref="D71:D72"/>
    <mergeCell ref="E71:E72"/>
    <mergeCell ref="F71:F72"/>
    <mergeCell ref="J71:J72"/>
    <mergeCell ref="L71:L72"/>
    <mergeCell ref="M71:M72"/>
    <mergeCell ref="N71:N72"/>
    <mergeCell ref="O71:O72"/>
    <mergeCell ref="F66:F69"/>
    <mergeCell ref="J66:J69"/>
    <mergeCell ref="K66:K69"/>
    <mergeCell ref="L66:L69"/>
    <mergeCell ref="M66:M69"/>
    <mergeCell ref="A66:A69"/>
    <mergeCell ref="B66:B69"/>
    <mergeCell ref="C66:C69"/>
    <mergeCell ref="D66:D69"/>
    <mergeCell ref="E66:E69"/>
    <mergeCell ref="O62:O63"/>
    <mergeCell ref="A64:A65"/>
    <mergeCell ref="B64:B65"/>
    <mergeCell ref="C64:C65"/>
    <mergeCell ref="D64:D65"/>
    <mergeCell ref="E64:E65"/>
    <mergeCell ref="F64:F65"/>
    <mergeCell ref="J64:J65"/>
    <mergeCell ref="L64:L65"/>
    <mergeCell ref="M64:M65"/>
    <mergeCell ref="N64:N65"/>
    <mergeCell ref="O64:O65"/>
    <mergeCell ref="F62:F63"/>
    <mergeCell ref="J62:J63"/>
    <mergeCell ref="L62:L63"/>
    <mergeCell ref="M62:M63"/>
    <mergeCell ref="N62:N63"/>
    <mergeCell ref="A62:A63"/>
    <mergeCell ref="B62:B63"/>
    <mergeCell ref="C62:C63"/>
    <mergeCell ref="D62:D63"/>
    <mergeCell ref="E62:E63"/>
    <mergeCell ref="A60:A61"/>
    <mergeCell ref="B60:B61"/>
    <mergeCell ref="C60:C61"/>
    <mergeCell ref="D60:D61"/>
    <mergeCell ref="E60:E61"/>
    <mergeCell ref="F60:F61"/>
    <mergeCell ref="J60:J61"/>
    <mergeCell ref="L60:L61"/>
    <mergeCell ref="M60:M61"/>
    <mergeCell ref="N60:N61"/>
    <mergeCell ref="O60:O61"/>
    <mergeCell ref="O47:O48"/>
    <mergeCell ref="A51:A54"/>
    <mergeCell ref="B51:B54"/>
    <mergeCell ref="C51:C54"/>
    <mergeCell ref="D51:D54"/>
    <mergeCell ref="E51:E54"/>
    <mergeCell ref="F51:F54"/>
    <mergeCell ref="J51:J54"/>
    <mergeCell ref="L51:L54"/>
    <mergeCell ref="M51:M54"/>
    <mergeCell ref="N51:N54"/>
    <mergeCell ref="O51:O54"/>
    <mergeCell ref="F47:F48"/>
    <mergeCell ref="J47:J48"/>
    <mergeCell ref="L47:L48"/>
    <mergeCell ref="M47:M48"/>
    <mergeCell ref="N47:N48"/>
    <mergeCell ref="A47:A48"/>
    <mergeCell ref="B47:B48"/>
    <mergeCell ref="C47:C48"/>
    <mergeCell ref="D47:D48"/>
    <mergeCell ref="E47:E48"/>
    <mergeCell ref="O39:O40"/>
    <mergeCell ref="A41:A42"/>
    <mergeCell ref="B41:B42"/>
    <mergeCell ref="C41:C42"/>
    <mergeCell ref="D41:D42"/>
    <mergeCell ref="E41:E42"/>
    <mergeCell ref="F41:F42"/>
    <mergeCell ref="J41:J42"/>
    <mergeCell ref="L41:L42"/>
    <mergeCell ref="M41:M42"/>
    <mergeCell ref="N41:N42"/>
    <mergeCell ref="O41:O42"/>
    <mergeCell ref="F39:F40"/>
    <mergeCell ref="J39:J40"/>
    <mergeCell ref="L39:L40"/>
    <mergeCell ref="M39:M40"/>
    <mergeCell ref="N39:N40"/>
    <mergeCell ref="A39:A40"/>
    <mergeCell ref="B39:B40"/>
    <mergeCell ref="C39:C40"/>
    <mergeCell ref="D39:D40"/>
    <mergeCell ref="E39:E40"/>
    <mergeCell ref="O29:O31"/>
    <mergeCell ref="A37:A38"/>
    <mergeCell ref="B37:B38"/>
    <mergeCell ref="C37:C38"/>
    <mergeCell ref="D37:D38"/>
    <mergeCell ref="E37:E38"/>
    <mergeCell ref="F37:F38"/>
    <mergeCell ref="J37:J38"/>
    <mergeCell ref="L37:L38"/>
    <mergeCell ref="M37:M38"/>
    <mergeCell ref="N37:N38"/>
    <mergeCell ref="O37:O38"/>
    <mergeCell ref="F29:F31"/>
    <mergeCell ref="J29:J31"/>
    <mergeCell ref="L29:L31"/>
    <mergeCell ref="M29:M31"/>
    <mergeCell ref="N29:N31"/>
    <mergeCell ref="A29:A31"/>
    <mergeCell ref="B29:B31"/>
    <mergeCell ref="C29:C31"/>
    <mergeCell ref="D29:D31"/>
    <mergeCell ref="E29:E31"/>
    <mergeCell ref="O14:O16"/>
    <mergeCell ref="A20:A21"/>
    <mergeCell ref="B20:B21"/>
    <mergeCell ref="C20:C21"/>
    <mergeCell ref="D20:D21"/>
    <mergeCell ref="E20:E21"/>
    <mergeCell ref="F20:F21"/>
    <mergeCell ref="J20:J21"/>
    <mergeCell ref="L20:L21"/>
    <mergeCell ref="M20:M21"/>
    <mergeCell ref="N20:N21"/>
    <mergeCell ref="O20:O21"/>
    <mergeCell ref="F14:F16"/>
    <mergeCell ref="J14:J16"/>
    <mergeCell ref="L14:L16"/>
    <mergeCell ref="M14:M16"/>
    <mergeCell ref="N14:N16"/>
    <mergeCell ref="A14:A16"/>
    <mergeCell ref="B14:B16"/>
    <mergeCell ref="C14:C16"/>
    <mergeCell ref="D14:D16"/>
    <mergeCell ref="E14:E16"/>
    <mergeCell ref="M6:M8"/>
    <mergeCell ref="N6:N8"/>
    <mergeCell ref="O6:O8"/>
    <mergeCell ref="P6:P8"/>
    <mergeCell ref="A6:A8"/>
    <mergeCell ref="B6:B8"/>
    <mergeCell ref="C6:C8"/>
    <mergeCell ref="D6:D8"/>
    <mergeCell ref="E6:E8"/>
    <mergeCell ref="F6:F8"/>
    <mergeCell ref="J6:J8"/>
    <mergeCell ref="K6:K8"/>
    <mergeCell ref="L6:L8"/>
  </mergeCells>
  <pageMargins left="0.51181102362204722" right="0.51181102362204722" top="0.74803149606299213" bottom="0.74803149606299213" header="0.31496062992125984" footer="0.31496062992125984"/>
  <pageSetup scale="43" fitToHeight="3" orientation="landscape" r:id="rId1"/>
  <headerFooter>
    <oddHeader>&amp;C&amp;"Arial,Negrita"&amp;20FONPER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25"/>
  <sheetViews>
    <sheetView workbookViewId="0">
      <selection activeCell="B18" sqref="B18:D26"/>
    </sheetView>
  </sheetViews>
  <sheetFormatPr baseColWidth="10" defaultRowHeight="12.75" x14ac:dyDescent="0.2"/>
  <cols>
    <col min="2" max="2" width="5" bestFit="1" customWidth="1"/>
    <col min="3" max="3" width="33.5703125" customWidth="1"/>
    <col min="4" max="4" width="14.140625" bestFit="1" customWidth="1"/>
    <col min="5" max="5" width="17.28515625" bestFit="1" customWidth="1"/>
    <col min="6" max="6" width="15.7109375" customWidth="1"/>
    <col min="8" max="8" width="13.28515625" customWidth="1"/>
    <col min="9" max="9" width="16.140625" bestFit="1" customWidth="1"/>
    <col min="10" max="10" width="16" bestFit="1" customWidth="1"/>
    <col min="11" max="11" width="17.85546875" bestFit="1" customWidth="1"/>
  </cols>
  <sheetData>
    <row r="4" spans="2:11" ht="15" x14ac:dyDescent="0.2">
      <c r="C4" s="325" t="s">
        <v>351</v>
      </c>
      <c r="D4" s="325"/>
    </row>
    <row r="5" spans="2:11" ht="13.5" thickBot="1" x14ac:dyDescent="0.25"/>
    <row r="6" spans="2:11" ht="30.75" thickBot="1" x14ac:dyDescent="0.25">
      <c r="B6" s="326" t="s">
        <v>352</v>
      </c>
      <c r="C6" s="327" t="s">
        <v>353</v>
      </c>
      <c r="D6" s="327" t="s">
        <v>354</v>
      </c>
      <c r="E6" s="327" t="s">
        <v>355</v>
      </c>
      <c r="F6" s="328" t="s">
        <v>356</v>
      </c>
      <c r="G6" s="329" t="s">
        <v>759</v>
      </c>
      <c r="H6" s="329" t="s">
        <v>760</v>
      </c>
      <c r="I6" s="329" t="s">
        <v>357</v>
      </c>
      <c r="J6" s="329" t="s">
        <v>761</v>
      </c>
      <c r="K6" s="329" t="s">
        <v>762</v>
      </c>
    </row>
    <row r="7" spans="2:11" ht="15.75" thickBot="1" x14ac:dyDescent="0.25">
      <c r="B7" s="330">
        <v>1</v>
      </c>
      <c r="C7" s="331" t="s">
        <v>595</v>
      </c>
      <c r="D7" s="332" t="s">
        <v>359</v>
      </c>
      <c r="E7" s="333" t="s">
        <v>360</v>
      </c>
      <c r="F7" s="334" t="s">
        <v>763</v>
      </c>
      <c r="G7" s="335">
        <v>10</v>
      </c>
      <c r="H7" s="335">
        <v>9</v>
      </c>
      <c r="I7" s="333" t="s">
        <v>764</v>
      </c>
      <c r="J7" s="333" t="s">
        <v>765</v>
      </c>
      <c r="K7" s="333" t="s">
        <v>766</v>
      </c>
    </row>
    <row r="8" spans="2:11" ht="15.75" thickBot="1" x14ac:dyDescent="0.25">
      <c r="B8" s="330">
        <v>2</v>
      </c>
      <c r="C8" s="331" t="s">
        <v>633</v>
      </c>
      <c r="D8" s="332" t="s">
        <v>634</v>
      </c>
      <c r="E8" s="333" t="s">
        <v>635</v>
      </c>
      <c r="F8" s="334" t="s">
        <v>767</v>
      </c>
      <c r="G8" s="335">
        <v>10</v>
      </c>
      <c r="H8" s="335">
        <v>7</v>
      </c>
      <c r="I8" s="333" t="s">
        <v>768</v>
      </c>
      <c r="J8" s="333" t="s">
        <v>769</v>
      </c>
      <c r="K8" s="333" t="s">
        <v>770</v>
      </c>
    </row>
    <row r="9" spans="2:11" ht="15.75" thickBot="1" x14ac:dyDescent="0.25">
      <c r="B9" s="330">
        <v>3</v>
      </c>
      <c r="C9" s="331" t="s">
        <v>582</v>
      </c>
      <c r="D9" s="332" t="s">
        <v>363</v>
      </c>
      <c r="E9" s="333" t="s">
        <v>364</v>
      </c>
      <c r="F9" s="334" t="s">
        <v>771</v>
      </c>
      <c r="G9" s="335">
        <v>10</v>
      </c>
      <c r="H9" s="335">
        <v>9</v>
      </c>
      <c r="I9" s="333" t="s">
        <v>772</v>
      </c>
      <c r="J9" s="333" t="s">
        <v>773</v>
      </c>
      <c r="K9" s="333" t="s">
        <v>774</v>
      </c>
    </row>
    <row r="10" spans="2:11" ht="15.75" thickBot="1" x14ac:dyDescent="0.25">
      <c r="B10" s="330">
        <v>4</v>
      </c>
      <c r="C10" s="331" t="s">
        <v>775</v>
      </c>
      <c r="D10" s="332" t="s">
        <v>550</v>
      </c>
      <c r="E10" s="333" t="s">
        <v>364</v>
      </c>
      <c r="F10" s="334" t="s">
        <v>776</v>
      </c>
      <c r="G10" s="335">
        <v>10</v>
      </c>
      <c r="H10" s="335">
        <v>3</v>
      </c>
      <c r="I10" s="333" t="s">
        <v>777</v>
      </c>
      <c r="J10" s="333" t="s">
        <v>778</v>
      </c>
      <c r="K10" s="333" t="s">
        <v>779</v>
      </c>
    </row>
    <row r="11" spans="2:11" ht="15.75" thickBot="1" x14ac:dyDescent="0.25">
      <c r="G11" s="336" t="s">
        <v>161</v>
      </c>
      <c r="H11" s="337"/>
      <c r="I11" s="337" t="s">
        <v>780</v>
      </c>
      <c r="J11" s="336" t="s">
        <v>781</v>
      </c>
      <c r="K11" s="338" t="s">
        <v>782</v>
      </c>
    </row>
    <row r="22" spans="3:4" x14ac:dyDescent="0.2">
      <c r="C22" t="s">
        <v>799</v>
      </c>
      <c r="D22">
        <v>1917049.98</v>
      </c>
    </row>
    <row r="23" spans="3:4" x14ac:dyDescent="0.2">
      <c r="C23" t="s">
        <v>800</v>
      </c>
      <c r="D23">
        <v>1315719.73</v>
      </c>
    </row>
    <row r="24" spans="3:4" ht="13.5" thickBot="1" x14ac:dyDescent="0.25">
      <c r="D24" s="321">
        <f>SUM(D22:D23)</f>
        <v>3232769.71</v>
      </c>
    </row>
    <row r="25" spans="3:4" ht="13.5" thickTop="1" x14ac:dyDescent="0.2"/>
  </sheetData>
  <phoneticPr fontId="71" type="noConversion"/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workbookViewId="0">
      <selection activeCell="B7" sqref="B7"/>
    </sheetView>
  </sheetViews>
  <sheetFormatPr baseColWidth="10" defaultColWidth="11.5703125" defaultRowHeight="24.75" customHeight="1" x14ac:dyDescent="0.2"/>
  <cols>
    <col min="1" max="1" width="11.5703125" style="1" customWidth="1"/>
    <col min="2" max="2" width="42.5703125" style="1" customWidth="1"/>
    <col min="3" max="3" width="21.7109375" style="1" customWidth="1"/>
    <col min="4" max="16384" width="11.5703125" style="1"/>
  </cols>
  <sheetData>
    <row r="3" spans="2:3" ht="24.75" customHeight="1" x14ac:dyDescent="0.25">
      <c r="B3" s="471" t="s">
        <v>293</v>
      </c>
      <c r="C3" s="471"/>
    </row>
    <row r="4" spans="2:3" ht="24.75" customHeight="1" x14ac:dyDescent="0.25">
      <c r="B4" s="471" t="s">
        <v>208</v>
      </c>
      <c r="C4" s="471"/>
    </row>
    <row r="5" spans="2:3" ht="24.75" customHeight="1" x14ac:dyDescent="0.25">
      <c r="B5" s="471" t="s">
        <v>254</v>
      </c>
      <c r="C5" s="471"/>
    </row>
    <row r="6" spans="2:3" ht="24.75" customHeight="1" x14ac:dyDescent="0.25">
      <c r="B6" s="472">
        <v>45138</v>
      </c>
      <c r="C6" s="472"/>
    </row>
    <row r="7" spans="2:3" ht="24.75" customHeight="1" thickBot="1" x14ac:dyDescent="0.3">
      <c r="B7" s="24"/>
      <c r="C7" s="24"/>
    </row>
    <row r="8" spans="2:3" ht="24.75" customHeight="1" thickBot="1" x14ac:dyDescent="0.3">
      <c r="B8" s="30" t="s">
        <v>191</v>
      </c>
      <c r="C8" s="31" t="s">
        <v>194</v>
      </c>
    </row>
    <row r="9" spans="2:3" ht="24.75" customHeight="1" x14ac:dyDescent="0.2">
      <c r="B9" s="42" t="s">
        <v>251</v>
      </c>
      <c r="C9" s="38">
        <v>0</v>
      </c>
    </row>
    <row r="10" spans="2:3" ht="24.75" customHeight="1" x14ac:dyDescent="0.2">
      <c r="B10" s="43" t="s">
        <v>252</v>
      </c>
      <c r="C10" s="39">
        <v>0</v>
      </c>
    </row>
    <row r="11" spans="2:3" ht="24.75" customHeight="1" x14ac:dyDescent="0.35">
      <c r="B11" s="43" t="s">
        <v>253</v>
      </c>
      <c r="C11" s="40">
        <v>0</v>
      </c>
    </row>
    <row r="12" spans="2:3" ht="24.75" customHeight="1" x14ac:dyDescent="0.4">
      <c r="B12" s="43"/>
      <c r="C12" s="41">
        <f>SUM(C9:C11)</f>
        <v>0</v>
      </c>
    </row>
    <row r="13" spans="2:3" ht="24.75" customHeight="1" thickBot="1" x14ac:dyDescent="0.25">
      <c r="B13" s="51"/>
      <c r="C13" s="53"/>
    </row>
  </sheetData>
  <mergeCells count="4">
    <mergeCell ref="B4:C4"/>
    <mergeCell ref="B3:C3"/>
    <mergeCell ref="B5:C5"/>
    <mergeCell ref="B6:C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140" zoomScaleNormal="140" workbookViewId="0">
      <selection activeCell="A3" sqref="A3"/>
    </sheetView>
  </sheetViews>
  <sheetFormatPr baseColWidth="10" defaultRowHeight="12.75" x14ac:dyDescent="0.2"/>
  <sheetData>
    <row r="1" spans="1:2" x14ac:dyDescent="0.2">
      <c r="B1" t="s">
        <v>173</v>
      </c>
    </row>
    <row r="3" spans="1:2" x14ac:dyDescent="0.2">
      <c r="A3">
        <v>1</v>
      </c>
      <c r="B3" t="s">
        <v>169</v>
      </c>
    </row>
    <row r="4" spans="1:2" x14ac:dyDescent="0.2">
      <c r="A4">
        <v>2</v>
      </c>
      <c r="B4" t="s">
        <v>174</v>
      </c>
    </row>
    <row r="5" spans="1:2" x14ac:dyDescent="0.2">
      <c r="A5">
        <v>3</v>
      </c>
      <c r="B5" t="s">
        <v>177</v>
      </c>
    </row>
    <row r="6" spans="1:2" x14ac:dyDescent="0.2">
      <c r="A6">
        <v>4</v>
      </c>
      <c r="B6" t="s">
        <v>175</v>
      </c>
    </row>
    <row r="7" spans="1:2" x14ac:dyDescent="0.2">
      <c r="A7">
        <v>5</v>
      </c>
      <c r="B7" t="s">
        <v>170</v>
      </c>
    </row>
    <row r="8" spans="1:2" x14ac:dyDescent="0.2">
      <c r="A8">
        <v>6</v>
      </c>
      <c r="B8" t="s">
        <v>171</v>
      </c>
    </row>
    <row r="9" spans="1:2" x14ac:dyDescent="0.2">
      <c r="A9">
        <v>7</v>
      </c>
      <c r="B9" t="s">
        <v>172</v>
      </c>
    </row>
    <row r="10" spans="1:2" x14ac:dyDescent="0.2">
      <c r="A10">
        <v>8</v>
      </c>
      <c r="B10" t="s">
        <v>182</v>
      </c>
    </row>
    <row r="11" spans="1:2" x14ac:dyDescent="0.2">
      <c r="A11">
        <v>9</v>
      </c>
      <c r="B11" t="s">
        <v>176</v>
      </c>
    </row>
    <row r="12" spans="1:2" x14ac:dyDescent="0.2">
      <c r="A12">
        <v>10</v>
      </c>
      <c r="B12" t="s">
        <v>181</v>
      </c>
    </row>
    <row r="13" spans="1:2" x14ac:dyDescent="0.2">
      <c r="A13">
        <v>11</v>
      </c>
      <c r="B13" t="s">
        <v>178</v>
      </c>
    </row>
    <row r="14" spans="1:2" x14ac:dyDescent="0.2">
      <c r="A14">
        <v>12</v>
      </c>
      <c r="B14" t="s">
        <v>179</v>
      </c>
    </row>
    <row r="16" spans="1:2" x14ac:dyDescent="0.2">
      <c r="B16" t="s">
        <v>180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3" ma:contentTypeDescription="Create a new document." ma:contentTypeScope="" ma:versionID="3d5c0a8620f9f8ee23b9750bd73947f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4a6ecd5ffb20944c83e1f1aec6d1dd01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9C60E9-23AB-43E9-A4AB-19167BA2FC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187603-E1DF-40ED-A8CE-010332182A79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829fe298-b51a-4ddb-9231-b6d9f99174b5"/>
    <ds:schemaRef ds:uri="http://schemas.microsoft.com/office/2006/metadata/properties"/>
    <ds:schemaRef ds:uri="5234e139-98e4-4c0e-a873-2c35232cb746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18AFEAD-B07C-4143-B1DB-C84A104FD8A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7B2945B-FB4F-44B5-97C9-51140D43D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17</vt:i4>
      </vt:variant>
    </vt:vector>
  </HeadingPairs>
  <TitlesOfParts>
    <vt:vector size="46" baseType="lpstr">
      <vt:lpstr>Estado Situacion</vt:lpstr>
      <vt:lpstr>Estado Resultado</vt:lpstr>
      <vt:lpstr>A-SITUACION (2)</vt:lpstr>
      <vt:lpstr>NOTA 11-CAPITAL</vt:lpstr>
      <vt:lpstr>A-RESULTADO (2)</vt:lpstr>
      <vt:lpstr>Cédula Nota 1</vt:lpstr>
      <vt:lpstr>Cédula Nota 2 </vt:lpstr>
      <vt:lpstr>Nota 3 Resumen</vt:lpstr>
      <vt:lpstr>NOTA 3-C-CONST </vt:lpstr>
      <vt:lpstr>NOTA 3-ANTIC COMP Y OTRAS</vt:lpstr>
      <vt:lpstr>NOTA 3-Intereses</vt:lpstr>
      <vt:lpstr>Nota 3 CxC Emplead</vt:lpstr>
      <vt:lpstr>NOTA 3-C X C</vt:lpstr>
      <vt:lpstr>NOTA 4  INVENTARIO</vt:lpstr>
      <vt:lpstr>NOTA 5  GPA</vt:lpstr>
      <vt:lpstr>NOTA 5-SEG PAG X ANT</vt:lpstr>
      <vt:lpstr>NOTA 5 - LIC MS 365 AMORTIZ</vt:lpstr>
      <vt:lpstr>NOTA 5 LICENCIAS JIRA</vt:lpstr>
      <vt:lpstr>NOTA 5 Licencias Adobe</vt:lpstr>
      <vt:lpstr>NOTA 7-ACTIVOS FIJOS</vt:lpstr>
      <vt:lpstr>NOTA 8-CEDULAS CxP </vt:lpstr>
      <vt:lpstr>NOTA 9-CEDULAS RETENCIO X PAGAR</vt:lpstr>
      <vt:lpstr>NOTA 10-OTRAS CXP</vt:lpstr>
      <vt:lpstr>BONIFICACION</vt:lpstr>
      <vt:lpstr>REGALIA</vt:lpstr>
      <vt:lpstr>VACACIONES</vt:lpstr>
      <vt:lpstr>CxC EMPLEAD</vt:lpstr>
      <vt:lpstr>NOTA 12-DIVIDENDOS</vt:lpstr>
      <vt:lpstr>Hoja5</vt:lpstr>
      <vt:lpstr>'A-RESULTADO (2)'!Área_de_impresión</vt:lpstr>
      <vt:lpstr>'A-SITUACION (2)'!Área_de_impresión</vt:lpstr>
      <vt:lpstr>'Cédula Nota 1'!Área_de_impresión</vt:lpstr>
      <vt:lpstr>'Cédula Nota 2 '!Área_de_impresión</vt:lpstr>
      <vt:lpstr>'Estado Resultado'!Área_de_impresión</vt:lpstr>
      <vt:lpstr>'Estado Situacion'!Área_de_impresión</vt:lpstr>
      <vt:lpstr>'NOTA 11-CAPITAL'!Área_de_impresión</vt:lpstr>
      <vt:lpstr>'NOTA 3-ANTIC COMP Y OTRAS'!Área_de_impresión</vt:lpstr>
      <vt:lpstr>'NOTA 3-C-CONST '!Área_de_impresión</vt:lpstr>
      <vt:lpstr>'NOTA 4  INVENTARIO'!Área_de_impresión</vt:lpstr>
      <vt:lpstr>'NOTA 5  GPA'!Área_de_impresión</vt:lpstr>
      <vt:lpstr>'NOTA 5 - LIC MS 365 AMORTIZ'!Área_de_impresión</vt:lpstr>
      <vt:lpstr>'NOTA 8-CEDULAS CxP '!Área_de_impresión</vt:lpstr>
      <vt:lpstr>'NOTA 9-CEDULAS RETENCIO X PAGAR'!Área_de_impresión</vt:lpstr>
      <vt:lpstr>'A-RESULTADO (2)'!Títulos_a_imprimir</vt:lpstr>
      <vt:lpstr>'A-SITUACION (2)'!Títulos_a_imprimir</vt:lpstr>
      <vt:lpstr>'NOTA 3-C-CONST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Rosa</dc:creator>
  <cp:lastModifiedBy>Victor Hilario</cp:lastModifiedBy>
  <cp:lastPrinted>2024-01-25T14:28:24Z</cp:lastPrinted>
  <dcterms:created xsi:type="dcterms:W3CDTF">2008-09-03T15:34:54Z</dcterms:created>
  <dcterms:modified xsi:type="dcterms:W3CDTF">2024-01-26T19:59:01Z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Katty Suero</vt:lpwstr>
  </property>
  <property fmtid="{D5CDD505-2E9C-101B-9397-08002B2CF9AE}" pid="3" name="Order">
    <vt:lpwstr>1188400.00000000</vt:lpwstr>
  </property>
  <property fmtid="{D5CDD505-2E9C-101B-9397-08002B2CF9AE}" pid="4" name="display_urn:schemas-microsoft-com:office:office#Author">
    <vt:lpwstr>Katty Suero</vt:lpwstr>
  </property>
  <property fmtid="{D5CDD505-2E9C-101B-9397-08002B2CF9AE}" pid="5" name="ContentTypeId">
    <vt:lpwstr>0x0101004FD84E918004A044BCE378A5E7129897</vt:lpwstr>
  </property>
</Properties>
</file>