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hilario\Downloads\Julio\"/>
    </mc:Choice>
  </mc:AlternateContent>
  <xr:revisionPtr revIDLastSave="0" documentId="13_ncr:1_{FD49FE89-AC70-42B7-8532-5174AC426551}" xr6:coauthVersionLast="47" xr6:coauthVersionMax="47" xr10:uidLastSave="{00000000-0000-0000-0000-000000000000}"/>
  <bookViews>
    <workbookView xWindow="-120" yWindow="-120" windowWidth="29040" windowHeight="15840" tabRatio="840" xr2:uid="{00000000-000D-0000-FFFF-FFFF00000000}"/>
  </bookViews>
  <sheets>
    <sheet name="Estado Situación" sheetId="2" r:id="rId1"/>
    <sheet name="Estado de Resultados" sheetId="1" r:id="rId2"/>
    <sheet name="A-SITUACION ANEXOS" sheetId="19" state="hidden" r:id="rId3"/>
    <sheet name="A-RESULTADOS ANEXOS" sheetId="34" state="hidden" r:id="rId4"/>
    <sheet name="NOTA 14-CAPITAL" sheetId="16" state="hidden" r:id="rId5"/>
    <sheet name="Cédula Nota 1" sheetId="31" state="hidden" r:id="rId6"/>
    <sheet name="Cédula Nota 2 " sheetId="26" state="hidden" r:id="rId7"/>
    <sheet name="Nota 3 Resumen" sheetId="40" state="hidden" r:id="rId8"/>
    <sheet name="NOTA 3-C-CONST " sheetId="7" state="hidden" r:id="rId9"/>
    <sheet name="NOTA 3-ANTIC COMP Y OTRAS" sheetId="13" state="hidden" r:id="rId10"/>
    <sheet name="NOTA 3-Intereses" sheetId="45" state="hidden" r:id="rId11"/>
    <sheet name="Nota 3 CxC Emplead" sheetId="41" state="hidden" r:id="rId12"/>
    <sheet name="NOTA 3-C X C" sheetId="22" state="hidden" r:id="rId13"/>
    <sheet name="NOTA 4  INVENTARIO" sheetId="37" state="hidden" r:id="rId14"/>
    <sheet name="NOTA 5  GPA" sheetId="39" state="hidden" r:id="rId15"/>
    <sheet name="NOTA 5-SEG PAG X ANT" sheetId="23" state="hidden" r:id="rId16"/>
    <sheet name="NOTA 5 - LIC MS 365 AMORTIZ" sheetId="38" state="hidden" r:id="rId17"/>
    <sheet name="NOTA 5 LICENCIAS JIRA" sheetId="46" state="hidden" r:id="rId18"/>
    <sheet name="NOTA 5 Licencias Adobe" sheetId="47" state="hidden" r:id="rId19"/>
    <sheet name="NOTA 6-DIVIDENDOS" sheetId="32" state="hidden" r:id="rId20"/>
    <sheet name="NOTA 7-AVANCES A FUTURAS CAPIT" sheetId="51" state="hidden" r:id="rId21"/>
    <sheet name="Tabacalera" sheetId="53" state="hidden" r:id="rId22"/>
    <sheet name="NOTA 8-PROPIEDAD, PLANTA Y EQUI" sheetId="29" state="hidden" r:id="rId23"/>
    <sheet name="NOTA 9-CEDULAS CxP PROVEEDORES " sheetId="25" state="hidden" r:id="rId24"/>
    <sheet name="NOTA 10-CEDULAS CxP CONTRATISTA" sheetId="52" state="hidden" r:id="rId25"/>
    <sheet name="NOTA 11-GASTOS PERSONAL X PAGAR" sheetId="35" state="hidden" r:id="rId26"/>
    <sheet name="NOTA 11-BONIFICACION" sheetId="42" state="hidden" r:id="rId27"/>
    <sheet name="NOTA 11-VACACIONES" sheetId="44" state="hidden" r:id="rId28"/>
    <sheet name="NOTA 11-REGALIA" sheetId="36" state="hidden" r:id="rId29"/>
    <sheet name="NOTA 12-RETENCIONES X PAGAR" sheetId="50" state="hidden" r:id="rId30"/>
    <sheet name="NOTA 13-OTRAS CXP" sheetId="30" state="hidden" r:id="rId31"/>
    <sheet name="Hoja5" sheetId="20" state="hidden" r:id="rId32"/>
  </sheets>
  <externalReferences>
    <externalReference r:id="rId33"/>
  </externalReferences>
  <definedNames>
    <definedName name="_xlnm.Print_Area" localSheetId="3">'A-RESULTADOS ANEXOS'!$A$1:$F$135</definedName>
    <definedName name="_xlnm.Print_Area" localSheetId="2">'A-SITUACION ANEXOS'!$A$1:$F$166</definedName>
    <definedName name="_xlnm.Print_Area" localSheetId="5">'Cédula Nota 1'!$A$1:$E$16</definedName>
    <definedName name="_xlnm.Print_Area" localSheetId="6">'Cédula Nota 2 '!$A$1:$E$22</definedName>
    <definedName name="_xlnm.Print_Area" localSheetId="1">'Estado de Resultados'!$A$1:$E$55</definedName>
    <definedName name="_xlnm.Print_Area" localSheetId="0">'Estado Situación'!$A$1:$E$63</definedName>
    <definedName name="_xlnm.Print_Area" localSheetId="24">'NOTA 10-CEDULAS CxP CONTRATISTA'!$A$1:$B$46</definedName>
    <definedName name="_xlnm.Print_Area" localSheetId="26">'NOTA 11-BONIFICACION'!#REF!</definedName>
    <definedName name="_xlnm.Print_Area" localSheetId="25">'NOTA 11-GASTOS PERSONAL X PAGAR'!$A$1:$B$59</definedName>
    <definedName name="_xlnm.Print_Area" localSheetId="29">'NOTA 12-RETENCIONES X PAGAR'!$A$1:$B$43</definedName>
    <definedName name="_xlnm.Print_Area" localSheetId="30">'NOTA 13-OTRAS CXP'!$A$1:$B$14</definedName>
    <definedName name="_xlnm.Print_Area" localSheetId="4">'NOTA 14-CAPITAL'!$A$1:$H$27</definedName>
    <definedName name="_xlnm.Print_Area" localSheetId="9">'NOTA 3-ANTIC COMP Y OTRAS'!$B$1:$F$22</definedName>
    <definedName name="_xlnm.Print_Area" localSheetId="12">'NOTA 3-C X C'!$B$1:$C$17</definedName>
    <definedName name="_xlnm.Print_Area" localSheetId="8">'NOTA 3-C-CONST '!$A$1:$F$36</definedName>
    <definedName name="_xlnm.Print_Area" localSheetId="13">'NOTA 4  INVENTARIO'!$A$1:$C$28</definedName>
    <definedName name="_xlnm.Print_Area" localSheetId="14">'NOTA 5  GPA'!$A$1:$C$17</definedName>
    <definedName name="_xlnm.Print_Area" localSheetId="16">'NOTA 5 - LIC MS 365 AMORTIZ'!$A$1:$F$45</definedName>
    <definedName name="_xlnm.Print_Area" localSheetId="20">'NOTA 7-AVANCES A FUTURAS CAPIT'!$A$1:$D$35</definedName>
    <definedName name="_xlnm.Print_Area" localSheetId="22">'NOTA 8-PROPIEDAD, PLANTA Y EQUI'!$A$1:$K$31</definedName>
    <definedName name="_xlnm.Print_Area" localSheetId="23">'NOTA 9-CEDULAS CxP PROVEEDORES '!$A$1:$C$98</definedName>
    <definedName name="_xlnm.Print_Titles" localSheetId="3">'A-RESULTADOS ANEXOS'!$1:$8</definedName>
    <definedName name="_xlnm.Print_Titles" localSheetId="2">'A-SITUACION ANEXOS'!$1:$9</definedName>
    <definedName name="_xlnm.Print_Titles" localSheetId="27">'NOTA 11-VACACIONES'!$1:$7</definedName>
    <definedName name="_xlnm.Print_Titles" localSheetId="8">'NOTA 3-C-CONST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2" i="19" l="1"/>
  <c r="H35" i="51"/>
  <c r="H33" i="51"/>
  <c r="C16" i="51"/>
  <c r="E36" i="53"/>
  <c r="C94" i="25" l="1"/>
  <c r="D34" i="2"/>
  <c r="D38" i="2" s="1"/>
  <c r="D127" i="19" l="1"/>
  <c r="D35" i="19"/>
  <c r="D64" i="19"/>
  <c r="C11" i="40" l="1"/>
  <c r="F44" i="46"/>
  <c r="H9" i="41"/>
  <c r="E13" i="26" l="1"/>
  <c r="C32" i="42" l="1"/>
  <c r="D14" i="31" l="1"/>
  <c r="F38" i="47"/>
  <c r="F39" i="47" s="1"/>
  <c r="I92" i="44" l="1"/>
  <c r="Q92" i="44" s="1"/>
  <c r="G92" i="44"/>
  <c r="R92" i="44" s="1"/>
  <c r="Q91" i="44"/>
  <c r="I91" i="44"/>
  <c r="G91" i="44"/>
  <c r="R91" i="44" s="1"/>
  <c r="I90" i="44"/>
  <c r="Q90" i="44" s="1"/>
  <c r="R90" i="44" s="1"/>
  <c r="G90" i="44"/>
  <c r="Q89" i="44"/>
  <c r="I89" i="44"/>
  <c r="G89" i="44"/>
  <c r="R89" i="44" s="1"/>
  <c r="I88" i="44"/>
  <c r="Q88" i="44" s="1"/>
  <c r="R88" i="44" s="1"/>
  <c r="G88" i="44"/>
  <c r="Q87" i="44"/>
  <c r="I87" i="44"/>
  <c r="G87" i="44"/>
  <c r="R87" i="44" s="1"/>
  <c r="I86" i="44"/>
  <c r="Q86" i="44" s="1"/>
  <c r="R86" i="44" s="1"/>
  <c r="G86" i="44"/>
  <c r="Q85" i="44"/>
  <c r="I85" i="44"/>
  <c r="G85" i="44"/>
  <c r="R85" i="44" s="1"/>
  <c r="I84" i="44"/>
  <c r="Q84" i="44" s="1"/>
  <c r="R84" i="44" s="1"/>
  <c r="G84" i="44"/>
  <c r="Q83" i="44"/>
  <c r="I83" i="44"/>
  <c r="G83" i="44"/>
  <c r="R83" i="44" s="1"/>
  <c r="I82" i="44"/>
  <c r="Q82" i="44" s="1"/>
  <c r="R82" i="44" s="1"/>
  <c r="G82" i="44"/>
  <c r="Q81" i="44"/>
  <c r="I81" i="44"/>
  <c r="G81" i="44"/>
  <c r="R81" i="44" s="1"/>
  <c r="I80" i="44"/>
  <c r="Q80" i="44" s="1"/>
  <c r="R80" i="44" s="1"/>
  <c r="G80" i="44"/>
  <c r="Q79" i="44"/>
  <c r="I79" i="44"/>
  <c r="G79" i="44"/>
  <c r="R79" i="44" s="1"/>
  <c r="I78" i="44"/>
  <c r="Q78" i="44" s="1"/>
  <c r="R78" i="44" s="1"/>
  <c r="G78" i="44"/>
  <c r="Q77" i="44"/>
  <c r="I77" i="44"/>
  <c r="G77" i="44"/>
  <c r="R77" i="44" s="1"/>
  <c r="I76" i="44"/>
  <c r="Q76" i="44" s="1"/>
  <c r="R76" i="44" s="1"/>
  <c r="G76" i="44"/>
  <c r="Q75" i="44"/>
  <c r="I75" i="44"/>
  <c r="G75" i="44"/>
  <c r="R75" i="44" s="1"/>
  <c r="I74" i="44"/>
  <c r="Q74" i="44" s="1"/>
  <c r="R74" i="44" s="1"/>
  <c r="G74" i="44"/>
  <c r="Q73" i="44"/>
  <c r="I73" i="44"/>
  <c r="G73" i="44"/>
  <c r="R73" i="44" s="1"/>
  <c r="I72" i="44"/>
  <c r="Q72" i="44" s="1"/>
  <c r="R72" i="44" s="1"/>
  <c r="G72" i="44"/>
  <c r="Q71" i="44"/>
  <c r="I71" i="44"/>
  <c r="G71" i="44"/>
  <c r="R71" i="44" s="1"/>
  <c r="I70" i="44"/>
  <c r="Q70" i="44" s="1"/>
  <c r="R70" i="44" s="1"/>
  <c r="G70" i="44"/>
  <c r="Q69" i="44"/>
  <c r="I69" i="44"/>
  <c r="G69" i="44"/>
  <c r="R69" i="44" s="1"/>
  <c r="I68" i="44"/>
  <c r="Q68" i="44" s="1"/>
  <c r="R68" i="44" s="1"/>
  <c r="G68" i="44"/>
  <c r="Q67" i="44"/>
  <c r="I67" i="44"/>
  <c r="G67" i="44"/>
  <c r="R67" i="44" s="1"/>
  <c r="I66" i="44"/>
  <c r="Q66" i="44" s="1"/>
  <c r="R66" i="44" s="1"/>
  <c r="G66" i="44"/>
  <c r="Q65" i="44"/>
  <c r="I65" i="44"/>
  <c r="G65" i="44"/>
  <c r="R65" i="44" s="1"/>
  <c r="I64" i="44"/>
  <c r="Q64" i="44" s="1"/>
  <c r="R64" i="44" s="1"/>
  <c r="G64" i="44"/>
  <c r="Q63" i="44"/>
  <c r="I63" i="44"/>
  <c r="G63" i="44"/>
  <c r="R63" i="44" s="1"/>
  <c r="I62" i="44"/>
  <c r="Q62" i="44" s="1"/>
  <c r="R62" i="44" s="1"/>
  <c r="G62" i="44"/>
  <c r="Q61" i="44"/>
  <c r="I61" i="44"/>
  <c r="G61" i="44"/>
  <c r="R61" i="44" s="1"/>
  <c r="I60" i="44"/>
  <c r="Q60" i="44" s="1"/>
  <c r="R60" i="44" s="1"/>
  <c r="G60" i="44"/>
  <c r="Q59" i="44"/>
  <c r="I59" i="44"/>
  <c r="G59" i="44"/>
  <c r="R59" i="44" s="1"/>
  <c r="I58" i="44"/>
  <c r="Q58" i="44" s="1"/>
  <c r="R58" i="44" s="1"/>
  <c r="G58" i="44"/>
  <c r="Q57" i="44"/>
  <c r="I57" i="44"/>
  <c r="G57" i="44"/>
  <c r="R57" i="44" s="1"/>
  <c r="I56" i="44"/>
  <c r="Q56" i="44" s="1"/>
  <c r="R56" i="44" s="1"/>
  <c r="G56" i="44"/>
  <c r="Q55" i="44"/>
  <c r="I55" i="44"/>
  <c r="G55" i="44"/>
  <c r="R55" i="44" s="1"/>
  <c r="I54" i="44"/>
  <c r="Q54" i="44" s="1"/>
  <c r="R54" i="44" s="1"/>
  <c r="G54" i="44"/>
  <c r="Q53" i="44"/>
  <c r="I53" i="44"/>
  <c r="G53" i="44"/>
  <c r="R53" i="44" s="1"/>
  <c r="I52" i="44"/>
  <c r="Q52" i="44" s="1"/>
  <c r="R52" i="44" s="1"/>
  <c r="G52" i="44"/>
  <c r="Q51" i="44"/>
  <c r="I51" i="44"/>
  <c r="G51" i="44"/>
  <c r="R51" i="44" s="1"/>
  <c r="I50" i="44"/>
  <c r="Q50" i="44" s="1"/>
  <c r="R50" i="44" s="1"/>
  <c r="G50" i="44"/>
  <c r="Q49" i="44"/>
  <c r="I49" i="44"/>
  <c r="G49" i="44"/>
  <c r="R49" i="44" s="1"/>
  <c r="I48" i="44"/>
  <c r="Q48" i="44" s="1"/>
  <c r="R48" i="44" s="1"/>
  <c r="G48" i="44"/>
  <c r="Q47" i="44"/>
  <c r="I47" i="44"/>
  <c r="G47" i="44"/>
  <c r="R47" i="44" s="1"/>
  <c r="I46" i="44"/>
  <c r="Q46" i="44" s="1"/>
  <c r="R46" i="44" s="1"/>
  <c r="G46" i="44"/>
  <c r="Q45" i="44"/>
  <c r="I45" i="44"/>
  <c r="G45" i="44"/>
  <c r="R45" i="44" s="1"/>
  <c r="I44" i="44"/>
  <c r="Q44" i="44" s="1"/>
  <c r="R44" i="44" s="1"/>
  <c r="G44" i="44"/>
  <c r="Q43" i="44"/>
  <c r="I43" i="44"/>
  <c r="G43" i="44"/>
  <c r="R43" i="44" s="1"/>
  <c r="I42" i="44"/>
  <c r="Q42" i="44" s="1"/>
  <c r="R42" i="44" s="1"/>
  <c r="G42" i="44"/>
  <c r="Q41" i="44"/>
  <c r="I41" i="44"/>
  <c r="G41" i="44"/>
  <c r="R41" i="44" s="1"/>
  <c r="I40" i="44"/>
  <c r="Q40" i="44" s="1"/>
  <c r="R40" i="44" s="1"/>
  <c r="G40" i="44"/>
  <c r="Q39" i="44"/>
  <c r="I39" i="44"/>
  <c r="G39" i="44"/>
  <c r="R39" i="44" s="1"/>
  <c r="I38" i="44"/>
  <c r="Q38" i="44" s="1"/>
  <c r="R38" i="44" s="1"/>
  <c r="G38" i="44"/>
  <c r="Q37" i="44"/>
  <c r="I37" i="44"/>
  <c r="G37" i="44"/>
  <c r="R37" i="44" s="1"/>
  <c r="I36" i="44"/>
  <c r="Q36" i="44" s="1"/>
  <c r="R36" i="44" s="1"/>
  <c r="G36" i="44"/>
  <c r="Q35" i="44"/>
  <c r="I35" i="44"/>
  <c r="G35" i="44"/>
  <c r="R35" i="44" s="1"/>
  <c r="I34" i="44"/>
  <c r="Q34" i="44" s="1"/>
  <c r="R34" i="44" s="1"/>
  <c r="G34" i="44"/>
  <c r="Q33" i="44"/>
  <c r="I33" i="44"/>
  <c r="G33" i="44"/>
  <c r="R33" i="44" s="1"/>
  <c r="I32" i="44"/>
  <c r="Q32" i="44" s="1"/>
  <c r="R32" i="44" s="1"/>
  <c r="G32" i="44"/>
  <c r="Q31" i="44"/>
  <c r="I31" i="44"/>
  <c r="G31" i="44"/>
  <c r="R31" i="44" s="1"/>
  <c r="I30" i="44"/>
  <c r="Q30" i="44" s="1"/>
  <c r="R30" i="44" s="1"/>
  <c r="G30" i="44"/>
  <c r="Q29" i="44"/>
  <c r="I29" i="44"/>
  <c r="G29" i="44"/>
  <c r="R29" i="44" s="1"/>
  <c r="I28" i="44"/>
  <c r="Q28" i="44" s="1"/>
  <c r="R28" i="44" s="1"/>
  <c r="G28" i="44"/>
  <c r="Q27" i="44"/>
  <c r="I27" i="44"/>
  <c r="G27" i="44"/>
  <c r="R27" i="44" s="1"/>
  <c r="I26" i="44"/>
  <c r="Q26" i="44" s="1"/>
  <c r="R26" i="44" s="1"/>
  <c r="G26" i="44"/>
  <c r="Q25" i="44"/>
  <c r="I25" i="44"/>
  <c r="G25" i="44"/>
  <c r="R25" i="44" s="1"/>
  <c r="I24" i="44"/>
  <c r="Q24" i="44" s="1"/>
  <c r="R24" i="44" s="1"/>
  <c r="G24" i="44"/>
  <c r="Q23" i="44"/>
  <c r="I23" i="44"/>
  <c r="G23" i="44"/>
  <c r="R23" i="44" s="1"/>
  <c r="I22" i="44"/>
  <c r="Q22" i="44" s="1"/>
  <c r="R22" i="44" s="1"/>
  <c r="G22" i="44"/>
  <c r="Q21" i="44"/>
  <c r="I21" i="44"/>
  <c r="G21" i="44"/>
  <c r="R21" i="44" s="1"/>
  <c r="I20" i="44"/>
  <c r="Q20" i="44" s="1"/>
  <c r="R20" i="44" s="1"/>
  <c r="G20" i="44"/>
  <c r="Q19" i="44"/>
  <c r="I19" i="44"/>
  <c r="G19" i="44"/>
  <c r="R19" i="44" s="1"/>
  <c r="I18" i="44"/>
  <c r="Q18" i="44" s="1"/>
  <c r="R18" i="44" s="1"/>
  <c r="G18" i="44"/>
  <c r="Q17" i="44"/>
  <c r="I17" i="44"/>
  <c r="G17" i="44"/>
  <c r="R17" i="44" s="1"/>
  <c r="I16" i="44"/>
  <c r="Q16" i="44" s="1"/>
  <c r="R16" i="44" s="1"/>
  <c r="G16" i="44"/>
  <c r="Q15" i="44"/>
  <c r="I15" i="44"/>
  <c r="G15" i="44"/>
  <c r="R15" i="44" s="1"/>
  <c r="I14" i="44"/>
  <c r="Q14" i="44" s="1"/>
  <c r="R14" i="44" s="1"/>
  <c r="G14" i="44"/>
  <c r="Q13" i="44"/>
  <c r="I13" i="44"/>
  <c r="G13" i="44"/>
  <c r="R13" i="44" s="1"/>
  <c r="I12" i="44"/>
  <c r="Q12" i="44" s="1"/>
  <c r="R12" i="44" s="1"/>
  <c r="G12" i="44"/>
  <c r="Q11" i="44"/>
  <c r="I11" i="44"/>
  <c r="G11" i="44"/>
  <c r="R11" i="44" s="1"/>
  <c r="I10" i="44"/>
  <c r="Q10" i="44" s="1"/>
  <c r="R10" i="44" s="1"/>
  <c r="G10" i="44"/>
  <c r="Q9" i="44"/>
  <c r="I9" i="44"/>
  <c r="G9" i="44"/>
  <c r="R9" i="44" s="1"/>
  <c r="I8" i="44"/>
  <c r="Q8" i="44" s="1"/>
  <c r="R8" i="44" s="1"/>
  <c r="G8" i="44"/>
  <c r="B43" i="52" l="1"/>
  <c r="I17" i="29"/>
  <c r="J16" i="29"/>
  <c r="J17" i="29"/>
  <c r="E17" i="29"/>
  <c r="G16" i="29"/>
  <c r="K16" i="29" s="1"/>
  <c r="D17" i="29"/>
  <c r="C17" i="29"/>
  <c r="F17" i="29"/>
  <c r="D132" i="34"/>
  <c r="F144" i="19"/>
  <c r="E19" i="53"/>
  <c r="E39" i="19"/>
  <c r="C11" i="45" l="1"/>
  <c r="E30" i="7" l="1"/>
  <c r="E33" i="7"/>
  <c r="F34" i="7"/>
  <c r="F122" i="34" l="1"/>
  <c r="D47" i="34"/>
  <c r="E86" i="34"/>
  <c r="F66" i="34"/>
  <c r="F63" i="34"/>
  <c r="C45" i="25"/>
  <c r="D112" i="19"/>
  <c r="D110" i="19"/>
  <c r="D117" i="19"/>
  <c r="D116" i="19"/>
  <c r="I24" i="29" l="1"/>
  <c r="F24" i="29"/>
  <c r="D115" i="19" s="1"/>
  <c r="E24" i="29"/>
  <c r="D113" i="19" s="1"/>
  <c r="D24" i="29"/>
  <c r="C24" i="29"/>
  <c r="J23" i="29"/>
  <c r="G23" i="29"/>
  <c r="K23" i="29" s="1"/>
  <c r="J22" i="29"/>
  <c r="G22" i="29"/>
  <c r="K22" i="29" s="1"/>
  <c r="J21" i="29"/>
  <c r="G21" i="29"/>
  <c r="J20" i="29"/>
  <c r="J24" i="29" s="1"/>
  <c r="G20" i="29"/>
  <c r="K20" i="29" s="1"/>
  <c r="I26" i="29"/>
  <c r="J15" i="29"/>
  <c r="G15" i="29"/>
  <c r="K14" i="29"/>
  <c r="J14" i="29"/>
  <c r="G14" i="29"/>
  <c r="J13" i="29"/>
  <c r="G13" i="29"/>
  <c r="K13" i="29" s="1"/>
  <c r="J12" i="29"/>
  <c r="D108" i="19"/>
  <c r="F26" i="29" l="1"/>
  <c r="K15" i="29"/>
  <c r="D26" i="29"/>
  <c r="D111" i="19"/>
  <c r="G12" i="29"/>
  <c r="G17" i="29" s="1"/>
  <c r="E26" i="29"/>
  <c r="C26" i="29"/>
  <c r="D109" i="19"/>
  <c r="K21" i="29"/>
  <c r="K24" i="29" s="1"/>
  <c r="J26" i="29"/>
  <c r="G24" i="29"/>
  <c r="G26" i="29" l="1"/>
  <c r="K12" i="29"/>
  <c r="K17" i="29" s="1"/>
  <c r="K26" i="29" s="1"/>
  <c r="F42" i="47" l="1"/>
  <c r="R95" i="44" l="1"/>
  <c r="R97" i="44" s="1"/>
  <c r="R100" i="44" s="1"/>
  <c r="R93" i="44"/>
  <c r="H27" i="51" l="1"/>
  <c r="C14" i="51" s="1"/>
  <c r="C31" i="42"/>
  <c r="F37" i="47" l="1"/>
  <c r="E104" i="19" l="1"/>
  <c r="D104" i="19"/>
  <c r="C25" i="2" s="1"/>
  <c r="F101" i="19"/>
  <c r="F102" i="19"/>
  <c r="F104" i="34" l="1"/>
  <c r="F76" i="34"/>
  <c r="I22" i="13" l="1"/>
  <c r="F101" i="34" l="1"/>
  <c r="F102" i="34"/>
  <c r="F103" i="34"/>
  <c r="F64" i="34"/>
  <c r="C59" i="25"/>
  <c r="C17" i="51"/>
  <c r="E21" i="13"/>
  <c r="E24" i="13" s="1"/>
  <c r="E42" i="42" l="1"/>
  <c r="E44" i="42" s="1"/>
  <c r="C30" i="42"/>
  <c r="C36" i="36"/>
  <c r="C34" i="36"/>
  <c r="D32" i="1"/>
  <c r="F36" i="47"/>
  <c r="C15" i="1"/>
  <c r="C30" i="1"/>
  <c r="D31" i="1"/>
  <c r="C32" i="1"/>
  <c r="C31" i="1"/>
  <c r="D30" i="1" l="1"/>
  <c r="D33" i="1" s="1"/>
  <c r="E32" i="1" l="1"/>
  <c r="C33" i="1"/>
  <c r="D136" i="19"/>
  <c r="D135" i="19"/>
  <c r="A34" i="52"/>
  <c r="A33" i="52"/>
  <c r="B35" i="25" l="1"/>
  <c r="B34" i="25"/>
  <c r="B52" i="25" s="1"/>
  <c r="B71" i="25" s="1"/>
  <c r="B33" i="25"/>
  <c r="B51" i="25" s="1"/>
  <c r="B70" i="25" s="1"/>
  <c r="F100" i="19"/>
  <c r="F104" i="19" s="1"/>
  <c r="D25" i="2"/>
  <c r="E25" i="2" l="1"/>
  <c r="F131" i="34" l="1"/>
  <c r="F91" i="34"/>
  <c r="F79" i="34"/>
  <c r="E25" i="7" l="1"/>
  <c r="E27" i="7"/>
  <c r="F35" i="47" l="1"/>
  <c r="C35" i="42"/>
  <c r="D44" i="2"/>
  <c r="C60" i="25"/>
  <c r="D146" i="19"/>
  <c r="D145" i="19"/>
  <c r="D143" i="19"/>
  <c r="D142" i="19"/>
  <c r="A35" i="35"/>
  <c r="A34" i="35"/>
  <c r="A35" i="50"/>
  <c r="A34" i="50"/>
  <c r="A24" i="50"/>
  <c r="A23" i="50"/>
  <c r="E131" i="19"/>
  <c r="D33" i="2" s="1"/>
  <c r="F129" i="19"/>
  <c r="D128" i="19"/>
  <c r="F128" i="19" s="1"/>
  <c r="F127" i="19"/>
  <c r="D126" i="19"/>
  <c r="F126" i="19" s="1"/>
  <c r="D125" i="19"/>
  <c r="F125" i="19" s="1"/>
  <c r="D124" i="19"/>
  <c r="F124" i="19" s="1"/>
  <c r="D123" i="19"/>
  <c r="C15" i="25"/>
  <c r="E138" i="19"/>
  <c r="F63" i="19"/>
  <c r="C77" i="25"/>
  <c r="D131" i="19" l="1"/>
  <c r="C33" i="2" s="1"/>
  <c r="C38" i="2" s="1"/>
  <c r="B11" i="52" l="1"/>
  <c r="D15" i="31" l="1"/>
  <c r="D25" i="31"/>
  <c r="D28" i="31" s="1"/>
  <c r="D19" i="31"/>
  <c r="D21" i="31" s="1"/>
  <c r="D27" i="31" s="1"/>
  <c r="E32" i="7"/>
  <c r="F32" i="7" s="1"/>
  <c r="F34" i="47"/>
  <c r="D156" i="19"/>
  <c r="F156" i="19" s="1"/>
  <c r="D155" i="19"/>
  <c r="F155" i="19" s="1"/>
  <c r="D154" i="19"/>
  <c r="F154" i="19" s="1"/>
  <c r="D153" i="19"/>
  <c r="F153" i="19" s="1"/>
  <c r="D152" i="19"/>
  <c r="F136" i="19"/>
  <c r="D17" i="19"/>
  <c r="F17" i="19" s="1"/>
  <c r="D16" i="19"/>
  <c r="F16" i="19" s="1"/>
  <c r="D15" i="19"/>
  <c r="F15" i="19" s="1"/>
  <c r="D14" i="19"/>
  <c r="F14" i="19" s="1"/>
  <c r="B41" i="50"/>
  <c r="B42" i="50" s="1"/>
  <c r="B30" i="50"/>
  <c r="B31" i="50" s="1"/>
  <c r="B15" i="50"/>
  <c r="B45" i="35"/>
  <c r="B46" i="35" s="1"/>
  <c r="C16" i="37"/>
  <c r="B14" i="35"/>
  <c r="F146" i="19" s="1"/>
  <c r="B12" i="32"/>
  <c r="B31" i="36"/>
  <c r="B12" i="36"/>
  <c r="B16" i="36" s="1"/>
  <c r="C38" i="42"/>
  <c r="C40" i="42" s="1"/>
  <c r="C37" i="42"/>
  <c r="C36" i="42"/>
  <c r="C34" i="42"/>
  <c r="D17" i="42"/>
  <c r="D16" i="42"/>
  <c r="D15" i="42"/>
  <c r="D14" i="42"/>
  <c r="D13" i="42"/>
  <c r="D12" i="42"/>
  <c r="D11" i="42"/>
  <c r="D10" i="42"/>
  <c r="D9" i="42"/>
  <c r="B10" i="30"/>
  <c r="D162" i="19" s="1"/>
  <c r="F162" i="19" s="1"/>
  <c r="F164" i="19" s="1"/>
  <c r="F117" i="19"/>
  <c r="F111" i="19"/>
  <c r="F113" i="19"/>
  <c r="F109" i="19"/>
  <c r="F116" i="19"/>
  <c r="F114" i="19"/>
  <c r="F112" i="19"/>
  <c r="F33" i="47"/>
  <c r="F32" i="47"/>
  <c r="F31" i="47"/>
  <c r="F30" i="47"/>
  <c r="F25" i="47"/>
  <c r="D25" i="47"/>
  <c r="F23" i="47"/>
  <c r="D23" i="47"/>
  <c r="F21" i="47"/>
  <c r="F19" i="47"/>
  <c r="F16" i="47"/>
  <c r="F42" i="46"/>
  <c r="C11" i="39" s="1"/>
  <c r="F26" i="46"/>
  <c r="D26" i="46"/>
  <c r="F24" i="46"/>
  <c r="D24" i="46"/>
  <c r="F22" i="46"/>
  <c r="F16" i="46"/>
  <c r="D48" i="38"/>
  <c r="D47" i="38"/>
  <c r="D46" i="38"/>
  <c r="F42" i="38"/>
  <c r="F44" i="38" s="1"/>
  <c r="C10" i="39" s="1"/>
  <c r="F20" i="38"/>
  <c r="D22" i="38" s="1"/>
  <c r="F22" i="38" s="1"/>
  <c r="F24" i="38" s="1"/>
  <c r="F14" i="38"/>
  <c r="F49" i="23"/>
  <c r="F55" i="23" s="1"/>
  <c r="C9" i="39" s="1"/>
  <c r="F34" i="23"/>
  <c r="F32" i="23"/>
  <c r="F30" i="23"/>
  <c r="F28" i="23"/>
  <c r="F25" i="23"/>
  <c r="F21" i="23"/>
  <c r="F20" i="23"/>
  <c r="C24" i="39"/>
  <c r="C23" i="39"/>
  <c r="C22" i="39"/>
  <c r="C25" i="37"/>
  <c r="D44" i="19" s="1"/>
  <c r="C12" i="22"/>
  <c r="H10" i="41"/>
  <c r="G10" i="41"/>
  <c r="E10" i="41"/>
  <c r="G9" i="41"/>
  <c r="I9" i="41" s="1"/>
  <c r="C10" i="40"/>
  <c r="D34" i="19" s="1"/>
  <c r="F34" i="19" s="1"/>
  <c r="F33" i="7"/>
  <c r="F31" i="7"/>
  <c r="F30" i="7"/>
  <c r="F29" i="7"/>
  <c r="E28" i="7"/>
  <c r="F28" i="7" s="1"/>
  <c r="F27" i="7"/>
  <c r="E26" i="7"/>
  <c r="F26" i="7" s="1"/>
  <c r="F25" i="7"/>
  <c r="E24" i="7"/>
  <c r="F24" i="7" s="1"/>
  <c r="E23" i="7"/>
  <c r="F23" i="7" s="1"/>
  <c r="E22" i="7"/>
  <c r="F22" i="7" s="1"/>
  <c r="F21" i="7"/>
  <c r="F20" i="7"/>
  <c r="F19" i="7"/>
  <c r="F18" i="7"/>
  <c r="E17" i="7"/>
  <c r="F17" i="7" s="1"/>
  <c r="F16" i="7"/>
  <c r="F15" i="7"/>
  <c r="F14" i="7"/>
  <c r="F13" i="7"/>
  <c r="F12" i="7"/>
  <c r="F11" i="7"/>
  <c r="F10" i="7"/>
  <c r="C13" i="26"/>
  <c r="D25" i="19" s="1"/>
  <c r="F25" i="19" s="1"/>
  <c r="E134" i="34"/>
  <c r="D134" i="34"/>
  <c r="F132" i="34"/>
  <c r="F130" i="34"/>
  <c r="G130" i="34" s="1"/>
  <c r="E126" i="34"/>
  <c r="D24" i="1" s="1"/>
  <c r="D126" i="34"/>
  <c r="C24" i="1" s="1"/>
  <c r="F124" i="34"/>
  <c r="F123" i="34"/>
  <c r="F121" i="34"/>
  <c r="F120" i="34"/>
  <c r="F119" i="34"/>
  <c r="F118" i="34"/>
  <c r="F117" i="34"/>
  <c r="F116" i="34"/>
  <c r="E112" i="34"/>
  <c r="D23" i="1" s="1"/>
  <c r="D112" i="34"/>
  <c r="F110" i="34"/>
  <c r="F109" i="34"/>
  <c r="F108" i="34"/>
  <c r="F107" i="34"/>
  <c r="F106" i="34"/>
  <c r="F105" i="34"/>
  <c r="F100" i="34"/>
  <c r="F99" i="34"/>
  <c r="F97" i="34"/>
  <c r="F96" i="34"/>
  <c r="F98" i="34"/>
  <c r="F95" i="34"/>
  <c r="F94" i="34"/>
  <c r="F93" i="34"/>
  <c r="F92" i="34"/>
  <c r="F90" i="34"/>
  <c r="D22" i="1"/>
  <c r="D86" i="34"/>
  <c r="F84" i="34"/>
  <c r="F83" i="34"/>
  <c r="F82" i="34"/>
  <c r="F81" i="34"/>
  <c r="F80" i="34"/>
  <c r="F78" i="34"/>
  <c r="F77" i="34"/>
  <c r="F75" i="34"/>
  <c r="F74" i="34"/>
  <c r="F73" i="34"/>
  <c r="F72" i="34"/>
  <c r="F71" i="34"/>
  <c r="F70" i="34"/>
  <c r="F69" i="34"/>
  <c r="F68" i="34"/>
  <c r="F67" i="34"/>
  <c r="F65" i="34"/>
  <c r="F62" i="34"/>
  <c r="F61" i="34"/>
  <c r="F60" i="34"/>
  <c r="F59" i="34"/>
  <c r="F58" i="34"/>
  <c r="F57" i="34"/>
  <c r="E53" i="34"/>
  <c r="D21" i="1" s="1"/>
  <c r="D53" i="34"/>
  <c r="C21" i="1" s="1"/>
  <c r="F51" i="34"/>
  <c r="F50" i="34"/>
  <c r="F49" i="34"/>
  <c r="F48" i="34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E28" i="34"/>
  <c r="D16" i="1" s="1"/>
  <c r="D28" i="34"/>
  <c r="F26" i="34"/>
  <c r="F28" i="34" s="1"/>
  <c r="E22" i="34"/>
  <c r="D15" i="1" s="1"/>
  <c r="E15" i="1" s="1"/>
  <c r="D22" i="34"/>
  <c r="F20" i="34"/>
  <c r="F22" i="34" s="1"/>
  <c r="E16" i="34"/>
  <c r="D14" i="1" s="1"/>
  <c r="D16" i="34"/>
  <c r="C14" i="1" s="1"/>
  <c r="F14" i="34"/>
  <c r="F13" i="34"/>
  <c r="F12" i="34"/>
  <c r="H25" i="16"/>
  <c r="E24" i="16"/>
  <c r="E23" i="16"/>
  <c r="E22" i="16"/>
  <c r="F25" i="16"/>
  <c r="E21" i="16"/>
  <c r="F20" i="16"/>
  <c r="E20" i="16"/>
  <c r="E19" i="16"/>
  <c r="E18" i="16"/>
  <c r="B8" i="16"/>
  <c r="B6" i="16"/>
  <c r="E164" i="19"/>
  <c r="D37" i="2" s="1"/>
  <c r="E158" i="19"/>
  <c r="D36" i="2" s="1"/>
  <c r="E148" i="19"/>
  <c r="D35" i="2" s="1"/>
  <c r="F145" i="19"/>
  <c r="F143" i="19"/>
  <c r="E119" i="19"/>
  <c r="E93" i="19"/>
  <c r="D93" i="19"/>
  <c r="F92" i="19"/>
  <c r="F91" i="19"/>
  <c r="E88" i="19"/>
  <c r="D88" i="19"/>
  <c r="F87" i="19"/>
  <c r="F86" i="19"/>
  <c r="E83" i="19"/>
  <c r="D83" i="19"/>
  <c r="F82" i="19"/>
  <c r="F81" i="19"/>
  <c r="E78" i="19"/>
  <c r="F77" i="19"/>
  <c r="D78" i="19"/>
  <c r="F75" i="19"/>
  <c r="E72" i="19"/>
  <c r="F71" i="19"/>
  <c r="D72" i="19"/>
  <c r="F69" i="19"/>
  <c r="E66" i="19"/>
  <c r="F65" i="19"/>
  <c r="D66" i="19"/>
  <c r="E60" i="19"/>
  <c r="F59" i="19"/>
  <c r="D58" i="19"/>
  <c r="D60" i="19" s="1"/>
  <c r="F57" i="19"/>
  <c r="E53" i="19"/>
  <c r="D20" i="2" s="1"/>
  <c r="E46" i="19"/>
  <c r="D19" i="2" s="1"/>
  <c r="D18" i="2"/>
  <c r="F32" i="19"/>
  <c r="E28" i="19"/>
  <c r="D17" i="2" s="1"/>
  <c r="F26" i="19"/>
  <c r="E20" i="19"/>
  <c r="D16" i="2" s="1"/>
  <c r="D13" i="19"/>
  <c r="A47" i="1"/>
  <c r="E31" i="1"/>
  <c r="C16" i="1"/>
  <c r="E45" i="2"/>
  <c r="C44" i="2" l="1"/>
  <c r="E44" i="2" s="1"/>
  <c r="D43" i="19"/>
  <c r="F43" i="19" s="1"/>
  <c r="E35" i="7"/>
  <c r="D35" i="7"/>
  <c r="D18" i="42"/>
  <c r="D21" i="42" s="1"/>
  <c r="C27" i="42" s="1"/>
  <c r="C29" i="42" s="1"/>
  <c r="D49" i="38"/>
  <c r="D53" i="38" s="1"/>
  <c r="D24" i="38"/>
  <c r="D26" i="2"/>
  <c r="I10" i="41"/>
  <c r="C12" i="40" s="1"/>
  <c r="D36" i="19" s="1"/>
  <c r="F36" i="19" s="1"/>
  <c r="D17" i="1"/>
  <c r="E24" i="1"/>
  <c r="E16" i="1"/>
  <c r="E14" i="1"/>
  <c r="D24" i="19"/>
  <c r="D25" i="1"/>
  <c r="E21" i="1"/>
  <c r="F64" i="19"/>
  <c r="F66" i="19" s="1"/>
  <c r="C13" i="40"/>
  <c r="D37" i="19" s="1"/>
  <c r="F37" i="19" s="1"/>
  <c r="D21" i="2"/>
  <c r="F88" i="19"/>
  <c r="F135" i="19"/>
  <c r="F138" i="19" s="1"/>
  <c r="D138" i="19"/>
  <c r="C34" i="2" s="1"/>
  <c r="F123" i="19"/>
  <c r="F131" i="19" s="1"/>
  <c r="D41" i="2"/>
  <c r="F70" i="19"/>
  <c r="F72" i="19" s="1"/>
  <c r="F83" i="19"/>
  <c r="D96" i="19"/>
  <c r="C24" i="2" s="1"/>
  <c r="F93" i="19"/>
  <c r="F76" i="19"/>
  <c r="F78" i="19" s="1"/>
  <c r="E96" i="19"/>
  <c r="F58" i="19"/>
  <c r="F60" i="19" s="1"/>
  <c r="C23" i="1"/>
  <c r="E23" i="1" s="1"/>
  <c r="C22" i="1"/>
  <c r="E22" i="1" s="1"/>
  <c r="F108" i="19"/>
  <c r="F110" i="19"/>
  <c r="F115" i="19"/>
  <c r="F16" i="34"/>
  <c r="E30" i="1"/>
  <c r="E33" i="1" s="1"/>
  <c r="F134" i="34"/>
  <c r="F126" i="34"/>
  <c r="F112" i="34"/>
  <c r="F86" i="34"/>
  <c r="F53" i="34"/>
  <c r="C17" i="1"/>
  <c r="F44" i="19"/>
  <c r="D18" i="19"/>
  <c r="F18" i="19" s="1"/>
  <c r="D29" i="31"/>
  <c r="F35" i="7"/>
  <c r="F38" i="7" s="1"/>
  <c r="F43" i="47"/>
  <c r="C12" i="39" s="1"/>
  <c r="D50" i="19"/>
  <c r="F50" i="19" s="1"/>
  <c r="C21" i="39"/>
  <c r="C26" i="39" s="1"/>
  <c r="C27" i="37"/>
  <c r="C31" i="37" s="1"/>
  <c r="F35" i="19"/>
  <c r="F13" i="19"/>
  <c r="D148" i="19"/>
  <c r="B17" i="35" s="1"/>
  <c r="D164" i="19"/>
  <c r="D158" i="19"/>
  <c r="C36" i="2" s="1"/>
  <c r="F142" i="19"/>
  <c r="F148" i="19" s="1"/>
  <c r="F152" i="19"/>
  <c r="F158" i="19" s="1"/>
  <c r="D46" i="19" l="1"/>
  <c r="C19" i="2" s="1"/>
  <c r="F46" i="19"/>
  <c r="F48" i="38"/>
  <c r="F24" i="19"/>
  <c r="D28" i="19"/>
  <c r="F28" i="19" s="1"/>
  <c r="E17" i="1"/>
  <c r="D27" i="1"/>
  <c r="D37" i="1" s="1"/>
  <c r="D38" i="1" s="1"/>
  <c r="D24" i="2"/>
  <c r="D27" i="2" s="1"/>
  <c r="D29" i="2" s="1"/>
  <c r="C37" i="2"/>
  <c r="E36" i="2"/>
  <c r="C35" i="2"/>
  <c r="F39" i="7"/>
  <c r="D51" i="19"/>
  <c r="F51" i="19" s="1"/>
  <c r="F53" i="19" s="1"/>
  <c r="E34" i="2"/>
  <c r="F96" i="19"/>
  <c r="E33" i="2"/>
  <c r="F119" i="19"/>
  <c r="E25" i="1"/>
  <c r="C25" i="1"/>
  <c r="C27" i="1" s="1"/>
  <c r="C37" i="1" s="1"/>
  <c r="D119" i="19"/>
  <c r="D20" i="19"/>
  <c r="C16" i="2" s="1"/>
  <c r="F20" i="19"/>
  <c r="D33" i="19"/>
  <c r="E35" i="2" l="1"/>
  <c r="C17" i="2"/>
  <c r="E17" i="2" s="1"/>
  <c r="E19" i="2"/>
  <c r="E37" i="2"/>
  <c r="C41" i="2"/>
  <c r="E27" i="1"/>
  <c r="E37" i="1" s="1"/>
  <c r="C26" i="2"/>
  <c r="C27" i="2" s="1"/>
  <c r="E16" i="2"/>
  <c r="D46" i="2"/>
  <c r="D48" i="2" s="1"/>
  <c r="D50" i="2" s="1"/>
  <c r="D51" i="2" s="1"/>
  <c r="C13" i="39"/>
  <c r="E24" i="2"/>
  <c r="E38" i="2"/>
  <c r="E41" i="2" s="1"/>
  <c r="C46" i="2"/>
  <c r="C48" i="2" s="1"/>
  <c r="D53" i="19"/>
  <c r="C20" i="2" s="1"/>
  <c r="E20" i="2" s="1"/>
  <c r="F33" i="19"/>
  <c r="F39" i="19" s="1"/>
  <c r="C38" i="1"/>
  <c r="C14" i="40"/>
  <c r="E26" i="2" l="1"/>
  <c r="E27" i="2" s="1"/>
  <c r="E38" i="1"/>
  <c r="C50" i="2"/>
  <c r="D39" i="19"/>
  <c r="E46" i="2"/>
  <c r="E48" i="2" s="1"/>
  <c r="E50" i="2" s="1"/>
  <c r="C18" i="2" l="1"/>
  <c r="C21" i="2" s="1"/>
  <c r="E18" i="2" l="1"/>
  <c r="E21" i="2" s="1"/>
  <c r="E29" i="2" s="1"/>
  <c r="E51" i="2" s="1"/>
  <c r="C29" i="2"/>
  <c r="C51" i="2" s="1"/>
</calcChain>
</file>

<file path=xl/sharedStrings.xml><?xml version="1.0" encoding="utf-8"?>
<sst xmlns="http://schemas.openxmlformats.org/spreadsheetml/2006/main" count="1272" uniqueCount="837">
  <si>
    <t>Corrientes:</t>
  </si>
  <si>
    <t>No Corrientes:</t>
  </si>
  <si>
    <t>FONDO PATRIMONIAL DE LAS EMPRESAS REFORMADAS</t>
  </si>
  <si>
    <t>Mes Actual</t>
  </si>
  <si>
    <t>ACTIVOS</t>
  </si>
  <si>
    <t>PASIVOS</t>
  </si>
  <si>
    <t>TOTAL PASIVOS</t>
  </si>
  <si>
    <t>PATRIMONIO</t>
  </si>
  <si>
    <t>TOTAL PATRIMONIO</t>
  </si>
  <si>
    <t xml:space="preserve">    </t>
  </si>
  <si>
    <t xml:space="preserve">ESTADO DE RESULTADOS </t>
  </si>
  <si>
    <t>Marleny Medrano</t>
  </si>
  <si>
    <t>Directora Administrativa Financiera</t>
  </si>
  <si>
    <t>PARQUE ECOLOGICO LAS LAGUNAS</t>
  </si>
  <si>
    <t>P/ CORREGIR BALANCE PROVEEDOR POR DISMINUCION EN PARTIDA DE IMPREVISTOS Y AUMENTO DE ITBIS</t>
  </si>
  <si>
    <t>FELIX MARIA UBIERA SATURRIA</t>
  </si>
  <si>
    <t>MANUEL ARCIDE DE LOS SANTOS BAUTISTA</t>
  </si>
  <si>
    <t>JIMENEZ ALBA Y ASCIADOS SRL</t>
  </si>
  <si>
    <t>CONSTRUCCIONES Y EQUIPOS MOLINAS SRL</t>
  </si>
  <si>
    <t>CONSTR DE 5 VIVIENDAS DE 2 Y 3 DORMITORIOS EN DIFERENTES SECTORES EN STO DGO</t>
  </si>
  <si>
    <t>MADELINE CANARIO OLIO</t>
  </si>
  <si>
    <t>CONSTRUCCION DE UNA PANADERIA REPOSTERIA EN SABANA LARGA, ELIAS PIÑA</t>
  </si>
  <si>
    <t>PLANTA FISICA PINEDA</t>
  </si>
  <si>
    <t>CONSTRUCCION LOTE #9 DE 15 VIVIENDAS ECONOMICAS, EN SAN JUAN DE LA MAGUANA 150 VIVIENDAS</t>
  </si>
  <si>
    <t>GAMUNDY CRUZ MADERA</t>
  </si>
  <si>
    <t>CONSTRUCCION DE 5 VIVIENDAS ECONOMICAS EN DIFERENTES SECTORES DE SANTIAGO</t>
  </si>
  <si>
    <t>MANUEL ANTONIO MERCEDES ESCOTO</t>
  </si>
  <si>
    <t>MIGUEL ANTONIO BERMUDEZ TORIBIO</t>
  </si>
  <si>
    <t>CONSTRUCCION,TERMINACION Y REPARACION DE 6 VIVIENDAS ECONOMICAS EN DIF. SECTORES,STGO</t>
  </si>
  <si>
    <t>SANTO ALOMAR MARIA UREÑA</t>
  </si>
  <si>
    <t>CONSTRUCCION DE CENTRO DE CONFECCION TEXTIL PEDRO GARCIA, SANTIAGO.</t>
  </si>
  <si>
    <t>FABIOLA HAYDEE REYES MATOS</t>
  </si>
  <si>
    <t>CONSTRUCCION  DE PANADERIA REPOSTERIA LA CUMBRE, SANTIAGO.</t>
  </si>
  <si>
    <t>TATIANA PUELLO MEDINA</t>
  </si>
  <si>
    <t>CONSTRUCCION DE UN PLAY DE BASEBALL MAMBUICHE, GURABO, SANTIAGO.</t>
  </si>
  <si>
    <t>CAROLINE MANUELA LOPEZ REYES</t>
  </si>
  <si>
    <t>CONSTRUCCION DE (6) VIVIENDAS, TERMINACION DE (3) Y REPARACION DE (1) EN DIFERENTES SECTORES DE SANTIAGO</t>
  </si>
  <si>
    <t>COFEMONT, SRL</t>
  </si>
  <si>
    <t>CONSTR. DE PANADERIA REPOSTERIA LA LEONOR, PARAJE LA LEONOR MUNICIPIO SABANETA, SANTIAGO RODRIGUEZ.</t>
  </si>
  <si>
    <t>NEZARCA CONSTRUCTORA, SRL</t>
  </si>
  <si>
    <t>CONSTR. DE (4) VIVIENDAS ECONOMICAS EN DIF. SECTORES DE STO, DGO Y (1) EN SAN CRISTOBAL.</t>
  </si>
  <si>
    <t>CONSTR. DE PANADERIA REPOSTERIA Y SALON MULTIUSO LA BUENA ESPERANZA, EL PINO EN DAJABON.</t>
  </si>
  <si>
    <t>CONSTR. PANADERIA REPOSTERIA LAS MATAS DE FARFAN EN MUNICIPIO LAS MATAS DE FARFAN, SAN JUAN.</t>
  </si>
  <si>
    <t>BALANCE</t>
  </si>
  <si>
    <t>ANTERIOR</t>
  </si>
  <si>
    <t>EJECUTADO</t>
  </si>
  <si>
    <t>JOSE RAMON MARTINEZ HENRIQUEZ / ROBERT ANTONIO ALMANZAR MERCADO</t>
  </si>
  <si>
    <t>ANTICIPOS EN COMPRAS</t>
  </si>
  <si>
    <t>CAJA CHICA POR PAGAR</t>
  </si>
  <si>
    <t>VACACIONES POR PAGAR</t>
  </si>
  <si>
    <t>BANCO DE RESERVAS</t>
  </si>
  <si>
    <t>OTROS INGRESOS</t>
  </si>
  <si>
    <t>SUELDOS NAVIDEÑOS</t>
  </si>
  <si>
    <t>PRESTACIONES LABORALES</t>
  </si>
  <si>
    <t>BONIFICACIONES</t>
  </si>
  <si>
    <t>PAGOS DE VACACIONES</t>
  </si>
  <si>
    <t>INCENTIVO POR VACACIONES</t>
  </si>
  <si>
    <t>AGUA</t>
  </si>
  <si>
    <t>LIMPIEZA E HIGIENE</t>
  </si>
  <si>
    <t>PASAJES</t>
  </si>
  <si>
    <t>SEGUROS DE PERSONAS</t>
  </si>
  <si>
    <t>COMISIONES Y GASTOS BANCARIOS</t>
  </si>
  <si>
    <t>IMPUESTOS, DERECHOS Y TASAS</t>
  </si>
  <si>
    <t>COMBUSTIBLES Y LUBRICANTES</t>
  </si>
  <si>
    <t>MATERIALES DE LIMPIEZA</t>
  </si>
  <si>
    <t>AYUDAS Y DONACIONES A PERSONAS</t>
  </si>
  <si>
    <t>Mes Anterior</t>
  </si>
  <si>
    <t>Variación</t>
  </si>
  <si>
    <t>MOLINOS DEL OZAMA</t>
  </si>
  <si>
    <t>EGEHAINA</t>
  </si>
  <si>
    <t>EDESUR</t>
  </si>
  <si>
    <t>EDENORTE</t>
  </si>
  <si>
    <t>EDEESTE</t>
  </si>
  <si>
    <t>% De</t>
  </si>
  <si>
    <t>Participación</t>
  </si>
  <si>
    <t>Cantidad de</t>
  </si>
  <si>
    <t>Acciones</t>
  </si>
  <si>
    <t>Notas</t>
  </si>
  <si>
    <t>INTERESES GANADOS:</t>
  </si>
  <si>
    <t>TOTAL INTERESES GANADOS</t>
  </si>
  <si>
    <t>OTROS INGRESOS:</t>
  </si>
  <si>
    <t>TOTAL OTROS INGRESOS</t>
  </si>
  <si>
    <t>REMUNERACIONES:</t>
  </si>
  <si>
    <t>SUELDOS PARA CARGOS FIJOS</t>
  </si>
  <si>
    <t>TOTAL REMUNERACIONES</t>
  </si>
  <si>
    <t>INTERNET Y TV POR CABLE</t>
  </si>
  <si>
    <t>ELECTRICIDAD</t>
  </si>
  <si>
    <t>TOTAL SERVICIOS NO PERSONALES</t>
  </si>
  <si>
    <t>ALIMENTOS Y BEBIDAS PARA PERSONAS</t>
  </si>
  <si>
    <t>TOTAL MATERIALES Y SUMINISTROS</t>
  </si>
  <si>
    <t>TOTAL TRANSFERENCIAS Y DONACIONES</t>
  </si>
  <si>
    <t>EFECTIVO EN CAJA Y BANCO:</t>
  </si>
  <si>
    <t>FONDO DE CAJA CHICA</t>
  </si>
  <si>
    <t>BANCO DE RESERVAS (CTA. OPERATIVA)</t>
  </si>
  <si>
    <t>TOTAL EFECTIVO EN CAJA Y BANCO</t>
  </si>
  <si>
    <t>CUENTAS POR COBRAR MANTENIMIENTO EDIFICIO</t>
  </si>
  <si>
    <t>MEJORAS E INSTALACIONES</t>
  </si>
  <si>
    <t>SOFTWARE</t>
  </si>
  <si>
    <t>CUENTAS POR PAGAR PROVEEDORES</t>
  </si>
  <si>
    <t>GRATIFICACIONES Y BONIFICACIONES POR PAGAR</t>
  </si>
  <si>
    <t>ANEXOS ESTADO DE RESULTADOS</t>
  </si>
  <si>
    <t>TOTAL CUENTAS POR COBRAR</t>
  </si>
  <si>
    <t>TOTAL INVERSIONES EN ACCIONES</t>
  </si>
  <si>
    <t>Nota</t>
  </si>
  <si>
    <t>Ingresos:</t>
  </si>
  <si>
    <t xml:space="preserve">Remuneraciones                              </t>
  </si>
  <si>
    <t xml:space="preserve">Total </t>
  </si>
  <si>
    <t xml:space="preserve">Aporte </t>
  </si>
  <si>
    <t>Acumulado al Mes Actual</t>
  </si>
  <si>
    <t>Acumulado al Mes Anterior</t>
  </si>
  <si>
    <t xml:space="preserve">Efectivo en caja y banco            </t>
  </si>
  <si>
    <t xml:space="preserve">Inversiones a corto plazo           </t>
  </si>
  <si>
    <t xml:space="preserve">Cuentas por cobrar                    </t>
  </si>
  <si>
    <t>Total activos corrientes</t>
  </si>
  <si>
    <t>Inversiones en acciones</t>
  </si>
  <si>
    <t>Total activos no corrientes</t>
  </si>
  <si>
    <t xml:space="preserve">Otras cuentas por pagar                   </t>
  </si>
  <si>
    <t>Total pasivo a corto plazo</t>
  </si>
  <si>
    <t>Resultado del ejercicio anterior</t>
  </si>
  <si>
    <t>Resultado del ejercicio corriente</t>
  </si>
  <si>
    <t xml:space="preserve">Intereses ganados                              </t>
  </si>
  <si>
    <t xml:space="preserve">Otros ingresos                                </t>
  </si>
  <si>
    <t xml:space="preserve">Servicios no personales             </t>
  </si>
  <si>
    <t xml:space="preserve">Materiales y suministros             </t>
  </si>
  <si>
    <t xml:space="preserve">Transferencias y donaciones    </t>
  </si>
  <si>
    <t>Resultado en operaciones</t>
  </si>
  <si>
    <t>TOTAL</t>
  </si>
  <si>
    <t>José E. Florentino</t>
  </si>
  <si>
    <t>Presidente</t>
  </si>
  <si>
    <t>Acumulado Mes Actual</t>
  </si>
  <si>
    <t>Acumulado Mes Anterior</t>
  </si>
  <si>
    <t>FECHA</t>
  </si>
  <si>
    <t>SUPLIDOR</t>
  </si>
  <si>
    <t>VALOR</t>
  </si>
  <si>
    <t>orden de las columnas</t>
  </si>
  <si>
    <t>poner una columna para las notas</t>
  </si>
  <si>
    <t>crear nota del capital institucional</t>
  </si>
  <si>
    <t>cambiar contrato de construccion por avance a contratista</t>
  </si>
  <si>
    <t>cambios pendientes en los anexos del sistema</t>
  </si>
  <si>
    <t>separar el certificado del banco agricola de las inversion en accion</t>
  </si>
  <si>
    <t>cambiar la numeración de las notas</t>
  </si>
  <si>
    <t>cambiar partidas por cobrar por cuentas por cobrar</t>
  </si>
  <si>
    <t>cambiar inventario por almacen de suministros e inventario de suministros</t>
  </si>
  <si>
    <t>cambiar cerificado banco agricola por deposito a plazos (banco agricola)</t>
  </si>
  <si>
    <t xml:space="preserve">buscar notas hecha en excel para referencia </t>
  </si>
  <si>
    <t>donde dice intereses por cobar banco agricola esta mal escrito</t>
  </si>
  <si>
    <t>SERVICIOS GENERALES POR PAGAR</t>
  </si>
  <si>
    <t>ACTUAL</t>
  </si>
  <si>
    <t>FACTURA</t>
  </si>
  <si>
    <t>TOTAL AMORTIZADO</t>
  </si>
  <si>
    <t>BALANCE ACTUAL</t>
  </si>
  <si>
    <t>Carlos Suberví</t>
  </si>
  <si>
    <t>AVANCE</t>
  </si>
  <si>
    <t>Cliente</t>
  </si>
  <si>
    <t>Detalles</t>
  </si>
  <si>
    <t>Monto US$</t>
  </si>
  <si>
    <t>Monto RD$</t>
  </si>
  <si>
    <t>Tasa de cambio</t>
  </si>
  <si>
    <t>Efectivo en Caja y Banco</t>
  </si>
  <si>
    <t>Caja chica</t>
  </si>
  <si>
    <t>2-2-502-0278183</t>
  </si>
  <si>
    <t>2-2-201-0061783</t>
  </si>
  <si>
    <t>2-2-801-0047211</t>
  </si>
  <si>
    <t>2-2-815-0013469</t>
  </si>
  <si>
    <t>2-2-812-0013468</t>
  </si>
  <si>
    <t>2-2-503-0278669</t>
  </si>
  <si>
    <t>GASTO MENSUAL</t>
  </si>
  <si>
    <t>Menos DESCUENTO</t>
  </si>
  <si>
    <t>Total RD$</t>
  </si>
  <si>
    <t>Total</t>
  </si>
  <si>
    <t>Cédula de detalle de cuentas</t>
  </si>
  <si>
    <t>NOTA 1</t>
  </si>
  <si>
    <t>NOTA 2</t>
  </si>
  <si>
    <t>Inversiones a Corto Plazo</t>
  </si>
  <si>
    <t xml:space="preserve">ESTADO DE SITUACIÓN </t>
  </si>
  <si>
    <t xml:space="preserve">ANEXOS DE ESTADO DE SITUACIÓN </t>
  </si>
  <si>
    <t>NOTA 3</t>
  </si>
  <si>
    <t>ANÁLISIS BALANCE CUENTA AVANCE CONTRATOS DE CONSTRUCCIÓN</t>
  </si>
  <si>
    <t>CONCEPTO</t>
  </si>
  <si>
    <t>Anticipos en Compras</t>
  </si>
  <si>
    <t>Cuentas por Cobrar</t>
  </si>
  <si>
    <t>NOTA 5</t>
  </si>
  <si>
    <t>NOTA 9</t>
  </si>
  <si>
    <t>Descripción</t>
  </si>
  <si>
    <t>Valores expresados en RD$</t>
  </si>
  <si>
    <t>TRANSFERENCIAS Y DONACIONES:</t>
  </si>
  <si>
    <t>SUELDOS FIJOS PERSONAL EN TRÁMITE DE PENSIONES</t>
  </si>
  <si>
    <t>COMPENSACIÓN POR GASTOS DE ALIMENTOS</t>
  </si>
  <si>
    <t>COMPENSACIÓN POR SERVICIOS DE SEGURIDAD</t>
  </si>
  <si>
    <t>HONORARIOS PROFESIONALES Y TÉCNICOS</t>
  </si>
  <si>
    <t>TELÉFONO LOCAL</t>
  </si>
  <si>
    <t>RESIDUOS SÓLIDOS</t>
  </si>
  <si>
    <t>VIÁTICOS DENTRO DEL PAÍS</t>
  </si>
  <si>
    <t>LIBROS, REVISTAS Y PERIÓDICOS</t>
  </si>
  <si>
    <t>PRODUCTOS ELÉCTRICOS Y AFINES</t>
  </si>
  <si>
    <t>ÚTILES DE COCINA Y COMEDOR</t>
  </si>
  <si>
    <t>ÚTILES DIVERSOS</t>
  </si>
  <si>
    <t>DEPRECIACIÓN MEJORAS E INSTALACIONES</t>
  </si>
  <si>
    <t>BANCO DE RESERVAS (CTA. NÓMINA)</t>
  </si>
  <si>
    <t>CTA AHORRO DÓLARES BCO DE RESERVAS A LA PAR</t>
  </si>
  <si>
    <t>CTA AHORRO DÓLARES BCO DE RESERVAS PRIMA</t>
  </si>
  <si>
    <t>AVANCES CONTRATOS DE CONSTRUCCIÓN</t>
  </si>
  <si>
    <t>PARTICIPACIÓN EN MOLINOS DEL OZAMA</t>
  </si>
  <si>
    <t>PARTICIPACIÓN EN EDESUR</t>
  </si>
  <si>
    <t>REGALÍA PASCUAL POR PAGAR</t>
  </si>
  <si>
    <t>RETENCIÓN ITBIS</t>
  </si>
  <si>
    <t>RETENCIÓN CODIA</t>
  </si>
  <si>
    <t>RETENCIÓN FOPETCONS</t>
  </si>
  <si>
    <t>Pólizas de Seguros de la Institución</t>
  </si>
  <si>
    <t>NO. PÓLIZA</t>
  </si>
  <si>
    <t>EGE Haina</t>
  </si>
  <si>
    <t>EGE Itabo</t>
  </si>
  <si>
    <t>Molinos de Ozama</t>
  </si>
  <si>
    <t>Ingresos por Participación en las Empresas Reformadas</t>
  </si>
  <si>
    <t>cuenta no. 1104-01-001</t>
  </si>
  <si>
    <t>CUENTAS POR PAGAR COMBUSTIBLES</t>
  </si>
  <si>
    <t>Encargado División de Contabilidad</t>
  </si>
  <si>
    <t>TOTAL INVERSIONES A CORTO PLAZO</t>
  </si>
  <si>
    <t>TOTAL OTRAS CUENTAS POR PAGAR</t>
  </si>
  <si>
    <t>INVERSIONES A CORTO PLAZO:</t>
  </si>
  <si>
    <t>CUENTAS POR COBRAR:</t>
  </si>
  <si>
    <t>INVERSIONES EN ACCIONES:</t>
  </si>
  <si>
    <t>PARTICIPACIÓN EN EGEITABO, NETO</t>
  </si>
  <si>
    <t>PARTICIPACIÓN EN EGEITABO</t>
  </si>
  <si>
    <t>BENEFICIOS (PÉRDIDAS) ACUMULADAS</t>
  </si>
  <si>
    <t>RESERVA LEGAL</t>
  </si>
  <si>
    <t>PARTICIPACIÓN EN MOLINOS DEL OZAMA, NETO</t>
  </si>
  <si>
    <t>PARTICIPACIÓN EN EGEHAINA</t>
  </si>
  <si>
    <t>PARTICIPACIÓN EN EGEHAINA, NETO</t>
  </si>
  <si>
    <t>PARTICIPACIÓN EN EDENORTE</t>
  </si>
  <si>
    <t>PARTICIPACIÓN EN EDENORTE, NETO</t>
  </si>
  <si>
    <t>PARTICIPACIÓN EN EDESUR, NETO</t>
  </si>
  <si>
    <t>PARTICIPACIÓN EN EDEESTE</t>
  </si>
  <si>
    <t>PARTICIPACIÓN EN EDEESTE, NETO</t>
  </si>
  <si>
    <t>DEPRECIACIÓN ACUMULADA</t>
  </si>
  <si>
    <t>AMORTIZACIÓN ACUMULADA</t>
  </si>
  <si>
    <t>EMPRESA</t>
  </si>
  <si>
    <t>OTROS INGRESOS (GASTOS) NO OPERACIONALES:</t>
  </si>
  <si>
    <t>SERVICIOS NO PERSONALES:</t>
  </si>
  <si>
    <t>MATERIALES Y SUMINISTROS:</t>
  </si>
  <si>
    <t xml:space="preserve"> Carlos Suberví</t>
  </si>
  <si>
    <t>TOTAL PASIVOS Y PATRIMONIO</t>
  </si>
  <si>
    <t>TOTAL ACTIVOS</t>
  </si>
  <si>
    <t>RESULTADO NETO</t>
  </si>
  <si>
    <t>TOTAL OTROS INGRESOS (GASTOS) NO OPERACIONALES</t>
  </si>
  <si>
    <t>NOTA 8</t>
  </si>
  <si>
    <t>Superintendencia de Electricidad</t>
  </si>
  <si>
    <t>CONSTRUCTORA SOSANMA S.R.L</t>
  </si>
  <si>
    <t>AVANCE EL 20% DEL PROYECTO CONST.(2)VIVIENDAS ECONOMICAS EN DIF. SECTORES D/ PROV.HERMANAS MIRABAL.</t>
  </si>
  <si>
    <t>Existencias Almacén 1</t>
  </si>
  <si>
    <t>Existencias Almacén 2</t>
  </si>
  <si>
    <t>NOTA 4</t>
  </si>
  <si>
    <t>SUELDO PERSONAL EVENTUAL</t>
  </si>
  <si>
    <t>LLANTAS Y TUBOS</t>
  </si>
  <si>
    <t>TRANSFERENCIAS CORRIENTES A INSTITUCIONES DESCENT. Y</t>
  </si>
  <si>
    <t>Licencia de Microsoft 365</t>
  </si>
  <si>
    <t>LICENCIA MICROSOFT 365</t>
  </si>
  <si>
    <t>1  AÑO</t>
  </si>
  <si>
    <t>DOC. NO.</t>
  </si>
  <si>
    <t>D/F</t>
  </si>
  <si>
    <t>NEVER OFF TECHNOLOGY</t>
  </si>
  <si>
    <t xml:space="preserve"> </t>
  </si>
  <si>
    <t>TRANSFERENCIA A INSTITUCIONES SIN FINES DE LUCRO</t>
  </si>
  <si>
    <t>Avance contratos de construcción</t>
  </si>
  <si>
    <t xml:space="preserve">SUIM SUPLIDORES INSTITUCIONALES </t>
  </si>
  <si>
    <t>MICROSOFT OFFICE</t>
  </si>
  <si>
    <t>MEMBRESIA</t>
  </si>
  <si>
    <t>AUDITORIA Y ESTUDIOS FINANCIEROS</t>
  </si>
  <si>
    <t>ELECTROCONSTRUCONT, S.R.L.</t>
  </si>
  <si>
    <t>SKETCHPROM, SRL</t>
  </si>
  <si>
    <t>DEPRECIACIÓN ARMAS DE FUEGO</t>
  </si>
  <si>
    <t>Cuenta de ahorro en US$, a la par</t>
  </si>
  <si>
    <t>Cuenta de ahorro en US$, prima</t>
  </si>
  <si>
    <t>Otras Cuentas por pagar</t>
  </si>
  <si>
    <t>Gratificaciones y bonificaciones por pagar</t>
  </si>
  <si>
    <t>Vacaciones por pagar</t>
  </si>
  <si>
    <t>Regalía pascual por pagar</t>
  </si>
  <si>
    <t>Retención CODIA</t>
  </si>
  <si>
    <t>Retención FOPETCONS</t>
  </si>
  <si>
    <t>FESTIVIDADES</t>
  </si>
  <si>
    <t>CUENTAS POR COBRAR EMPLEADOS</t>
  </si>
  <si>
    <t>Cuentas por cobrar a empleados</t>
  </si>
  <si>
    <t>CUENTAS POR COBRAR A EMPLEADOS</t>
  </si>
  <si>
    <t>RELACIÓN DE DESCUENTO TELÉFONO</t>
  </si>
  <si>
    <t>No.</t>
  </si>
  <si>
    <t xml:space="preserve">NOMBRE </t>
  </si>
  <si>
    <t>CÉDULA</t>
  </si>
  <si>
    <t>CARGO</t>
  </si>
  <si>
    <t xml:space="preserve">MONTO TOTAL </t>
  </si>
  <si>
    <t>MONTO DE LA CUOTA</t>
  </si>
  <si>
    <t xml:space="preserve">BALANCE CXC </t>
  </si>
  <si>
    <t>PRESIDENTE</t>
  </si>
  <si>
    <t>001-1231063-6</t>
  </si>
  <si>
    <t>ENCARGADO</t>
  </si>
  <si>
    <t>COORDINADOR</t>
  </si>
  <si>
    <t>Mejoras e instalaciones</t>
  </si>
  <si>
    <t>Equipos de transporte</t>
  </si>
  <si>
    <t>Saldo inicial</t>
  </si>
  <si>
    <t>Adiciones</t>
  </si>
  <si>
    <t>Ajustes</t>
  </si>
  <si>
    <t>Retiros</t>
  </si>
  <si>
    <t>Depreciación acumulada</t>
  </si>
  <si>
    <t>Cargos del periodo</t>
  </si>
  <si>
    <t>Ajustes y reclasificación</t>
  </si>
  <si>
    <t>Software</t>
  </si>
  <si>
    <t xml:space="preserve">NO. DE CUOTAS </t>
  </si>
  <si>
    <t>Ganancia en operaciones cambiarias</t>
  </si>
  <si>
    <t>Cuenta corriente operativa RD$</t>
  </si>
  <si>
    <t>Cuenta corriente nómina RD$</t>
  </si>
  <si>
    <t>MONTO DE LAS CUOTAS DESCONTADAS</t>
  </si>
  <si>
    <t>Comisión Nacional de Energía</t>
  </si>
  <si>
    <t>CONSTRUCCION DE UN  DESTACAMENTO POLICIAL EN QUITA CORAZA, BARAHONA</t>
  </si>
  <si>
    <t>NO. CHEQUE</t>
  </si>
  <si>
    <t>TOTAL PAGADO</t>
  </si>
  <si>
    <t>DURACIÓN</t>
  </si>
  <si>
    <t>VALOR RD$</t>
  </si>
  <si>
    <t>Mobiliario y equipos de oficina</t>
  </si>
  <si>
    <t>Total Activos Tangibles</t>
  </si>
  <si>
    <t>Total Activos Intangibles</t>
  </si>
  <si>
    <t>Armas de fuego</t>
  </si>
  <si>
    <t xml:space="preserve">SERVICIOS GENERALES POR PAGAR </t>
  </si>
  <si>
    <t>PRENDAS DE VESTIR</t>
  </si>
  <si>
    <t>SERVICIOS ESPECIALES</t>
  </si>
  <si>
    <t>ARMAS DE FUEGO</t>
  </si>
  <si>
    <t>Conceptos</t>
  </si>
  <si>
    <t>Total bonificación anual proyectada</t>
  </si>
  <si>
    <t>Entre 12 meses</t>
  </si>
  <si>
    <t>Provisión mensual</t>
  </si>
  <si>
    <t xml:space="preserve">Militares </t>
  </si>
  <si>
    <t xml:space="preserve">Fijos </t>
  </si>
  <si>
    <t xml:space="preserve">Consejo  </t>
  </si>
  <si>
    <t>MOTYKA, S.R.L.</t>
  </si>
  <si>
    <t>AMORTIZACIÓN FEB./2024</t>
  </si>
  <si>
    <t>X  10  =</t>
  </si>
  <si>
    <t>X  2  =</t>
  </si>
  <si>
    <t>10  MESES</t>
  </si>
  <si>
    <t>2  MESES</t>
  </si>
  <si>
    <t>OBRAS MENORES</t>
  </si>
  <si>
    <t>EQUIPOS DE TRANSPORTE</t>
  </si>
  <si>
    <t>Anticipo en compras</t>
  </si>
  <si>
    <t>Gastos pagados por anticipado</t>
  </si>
  <si>
    <t>INGRESOS POR PARTICIPACIÓN EN EMPRESAS REFORMADAS:</t>
  </si>
  <si>
    <t>TOTAL INGRESOS POR PARTICIPACIÓN EN EMPRESAS REFORMADAS</t>
  </si>
  <si>
    <t>DIETAS EN EL PAÍS</t>
  </si>
  <si>
    <t>GASTOS DE REPRESENTACIÓN</t>
  </si>
  <si>
    <t>SERVICIOS DE CAPACITACIÓN</t>
  </si>
  <si>
    <t>VIÁTICOS Y DIETAS PARA SUPERVISAR OBRAS</t>
  </si>
  <si>
    <t>CUENTA 1104-01-004</t>
  </si>
  <si>
    <t>AIDA VICTORIA PARDILLA MARTINEZ</t>
  </si>
  <si>
    <t>ENCARGADA</t>
  </si>
  <si>
    <t>ALCE  ODELL CACERES LEREBOURS</t>
  </si>
  <si>
    <t>ADMINISTRADOR DE SERVICIOS TIC</t>
  </si>
  <si>
    <t>ANA ILDA NUÑEZ BATISTA</t>
  </si>
  <si>
    <t>ANALISTA DE GESTIÓN PATRIMONIAL II</t>
  </si>
  <si>
    <t>ANALISTA</t>
  </si>
  <si>
    <t>CONSERJE</t>
  </si>
  <si>
    <t>CARLOS JULIO SUBERVI CARRASCO</t>
  </si>
  <si>
    <t>CARMEN JULIA PEREZ FERNANDEZ</t>
  </si>
  <si>
    <t>CAROL JULISSA DIAZ MELO</t>
  </si>
  <si>
    <t>COORDINADOR (A) ADMINISTRATIVO</t>
  </si>
  <si>
    <t>CELIA M CUEVAS JIMENEZ</t>
  </si>
  <si>
    <t>CLAUDIO ALBERTO MARTE MERCEDES</t>
  </si>
  <si>
    <t>CRISTIAN INOA GARCIA</t>
  </si>
  <si>
    <t>CHOFER</t>
  </si>
  <si>
    <t>DANIA RODRIGUEZ RODRIGUEZ</t>
  </si>
  <si>
    <t>DESIREE MARIN GARCIA</t>
  </si>
  <si>
    <t>COORDINADORA</t>
  </si>
  <si>
    <t>DIANA J ROSARIO POLANCO</t>
  </si>
  <si>
    <t>DIONICIO EMILIO GUERRERO PEREZ</t>
  </si>
  <si>
    <t>DOMINGO ALBERTO RODRIGUEZ</t>
  </si>
  <si>
    <t>EDDY M DOMINGUEZ LINARES</t>
  </si>
  <si>
    <t>EDGAR  MOISES DUME PEPEN</t>
  </si>
  <si>
    <t>ENC. SECCIÓN DE CORRESP. Y ARCH</t>
  </si>
  <si>
    <t>EDILI D RAMIREZ RODRIGUEZ</t>
  </si>
  <si>
    <t>AUXILIAR ADMINISTRATIVO</t>
  </si>
  <si>
    <t>EDWARD ALEXANDER AQUINO ALMONTE</t>
  </si>
  <si>
    <t>SOPORTE TECNICO</t>
  </si>
  <si>
    <t>EDWIN JOHANNY JIMENEZ</t>
  </si>
  <si>
    <t>ELIN ALBERTO PENA GERMAN</t>
  </si>
  <si>
    <t>ADMINISTRADOR DE OPERACIONES TIC</t>
  </si>
  <si>
    <t>ABOGADO I</t>
  </si>
  <si>
    <t>ESKIBEL JAVIER SANCHEZ VIDAL</t>
  </si>
  <si>
    <t>FRANCIS GISELLE BUSSI INOA</t>
  </si>
  <si>
    <t>COORDINADOR (A) DE ARQUITECTURA</t>
  </si>
  <si>
    <t>FRANCISCA SANCHEZ DE LOS SANTOS</t>
  </si>
  <si>
    <t>FRANSER DESIREE SOLIS DE LUNA</t>
  </si>
  <si>
    <t>FREDDY JOSE PEREYRA  ALBERTO</t>
  </si>
  <si>
    <t>FREILYN PEREZ</t>
  </si>
  <si>
    <t>TÉCNICO ADMINISTRATIVO</t>
  </si>
  <si>
    <t>GERMAINE D GAZON ROSARIO</t>
  </si>
  <si>
    <t>ISMAEL VALENTIN PENA SANTOS</t>
  </si>
  <si>
    <t>MENSAJERO EXTERNO</t>
  </si>
  <si>
    <t>JESUS O SANCHEZ TRINIDAD</t>
  </si>
  <si>
    <t>ANALISTA INFORMÁTICO</t>
  </si>
  <si>
    <t>JOSE E FLORENTINO RODRIGUEZ</t>
  </si>
  <si>
    <t>JOSE MANUEL VALDEZ</t>
  </si>
  <si>
    <t>SUPERVISOR DE TRANSPORTACIÓN</t>
  </si>
  <si>
    <t>JOSEFINA MERCEDES VEGA BATLLE</t>
  </si>
  <si>
    <t>VICE-PRESIDENTE</t>
  </si>
  <si>
    <t>JUAN SANTANA H</t>
  </si>
  <si>
    <t>LADY  MARGARET ESPINAL ROMERO</t>
  </si>
  <si>
    <t>RELACIONISTA PUBLICO</t>
  </si>
  <si>
    <t>LEWIS A MEDRANO MORLA</t>
  </si>
  <si>
    <t>LUIS ANTONIO MOQUETE PELLETIER</t>
  </si>
  <si>
    <t>AUXILIAR</t>
  </si>
  <si>
    <t>MAYRUBI LAZARO VALENZUELA</t>
  </si>
  <si>
    <t>NADIA ROSA MARIA BAEZ LOPEZ</t>
  </si>
  <si>
    <t>MENSAJERA INTERNA</t>
  </si>
  <si>
    <t>OSVALDO PEREZ PIMENTEL</t>
  </si>
  <si>
    <t>COORDINADOR (A) DE GESTION PATR</t>
  </si>
  <si>
    <t>RAPHIEL RADNEY ABREU</t>
  </si>
  <si>
    <t>RICHARD RAMON MEJIA MENDOZA</t>
  </si>
  <si>
    <t>AUXILIAR DE SUMINISTRO</t>
  </si>
  <si>
    <t>DIRECTOR</t>
  </si>
  <si>
    <t>SARITA MARTINEZ FROMETA</t>
  </si>
  <si>
    <t>SOMNE ALTAGRACIA BAEZ TRINIDAD</t>
  </si>
  <si>
    <t>WINSTON POLANCO ROBLES</t>
  </si>
  <si>
    <t>OTROS GASTOS DE PROYECTOS</t>
  </si>
  <si>
    <t>EGEITABO</t>
  </si>
  <si>
    <t>EQUIPAN,S.R.L.</t>
  </si>
  <si>
    <t>CONSTRUCTORA VIASAN &amp; ASOCIADOS, S.R.L.</t>
  </si>
  <si>
    <t>HISPANIOLA TECHNOLOGY</t>
  </si>
  <si>
    <t>4  MESES</t>
  </si>
  <si>
    <t>X  4  =</t>
  </si>
  <si>
    <t>X  8  =</t>
  </si>
  <si>
    <t>8  MESES</t>
  </si>
  <si>
    <t>ENERO   -   AGOSTO 2024</t>
  </si>
  <si>
    <t>SEPTIEMBRE - DICIEMBRE 2023</t>
  </si>
  <si>
    <t>AMORTIZACIÓN SEPT/2023</t>
  </si>
  <si>
    <t>AMORTIZACIÓN OCT/2023</t>
  </si>
  <si>
    <t>AMORTIZACIÓN NOV/2023</t>
  </si>
  <si>
    <t>AMORTIZACIÓN DIC/2023</t>
  </si>
  <si>
    <t>AMORTIZACIÓN ENE/2024</t>
  </si>
  <si>
    <t>AMORTIZACIÓN MAR./2024</t>
  </si>
  <si>
    <t>AMORTIZACIÓN ABR./2024</t>
  </si>
  <si>
    <t>AMORTIZACIÓN MAY./2024</t>
  </si>
  <si>
    <t>AMORTIZACIÓN JUN./2024</t>
  </si>
  <si>
    <t>AMORTIZACIÓN JUL./2024</t>
  </si>
  <si>
    <t>AMORTIZACIÓN AGO./2024</t>
  </si>
  <si>
    <t>Licencia Mesa de Ayuda JIRA</t>
  </si>
  <si>
    <t>DESDE EL 1 SEPTIEMBRE 2023 HASTA EL 31 AGOSTO 2024</t>
  </si>
  <si>
    <t>FACT NO.  326. CK 39252</t>
  </si>
  <si>
    <t>BR - 9606264085</t>
  </si>
  <si>
    <t>CONSTRUCCIONES PALOMINO S.R.L</t>
  </si>
  <si>
    <t>AVANCE 20% PARA CONST.ESCALERA EMERGENCIA FONPER SEGUN CONTRATO 2023-38</t>
  </si>
  <si>
    <t>Lic. M.365</t>
  </si>
  <si>
    <t>Lic. Yira</t>
  </si>
  <si>
    <t>INTER COMPUTER AL, SRL</t>
  </si>
  <si>
    <t>DEPRECIACIÓN EQUIPOS DE TRANSPORTE</t>
  </si>
  <si>
    <t>Intereses certificados RD$ Banreservas</t>
  </si>
  <si>
    <t>NOTAS</t>
  </si>
  <si>
    <t>LICENCIAS</t>
  </si>
  <si>
    <t>LICENCIA MESA DE AYUDA JIRA</t>
  </si>
  <si>
    <t>Licencia Microsoft 365</t>
  </si>
  <si>
    <t>MESA DE AYUDA JIRA</t>
  </si>
  <si>
    <t>VALORES EXPRESADOS EN RD$</t>
  </si>
  <si>
    <t>PARTICIPACIÓN EN LA TABACALERA, S. A.</t>
  </si>
  <si>
    <t>PARTICIPACIÓN EN LA TABACALERA, S. A., NETO</t>
  </si>
  <si>
    <t>RETENCIONES IMPUESTOS S/RENTA A PROVEEDORES</t>
  </si>
  <si>
    <t>RETENCIONES IMPUESTOS S/RENTA A EMPLEADOS</t>
  </si>
  <si>
    <t>SUELDOS PERSONAL CONTRATADO</t>
  </si>
  <si>
    <t>COMPENSACIÓN POR HORAS EXTRAS</t>
  </si>
  <si>
    <t>PRIMAS DE TRANSPORTE</t>
  </si>
  <si>
    <t>COMPENSACIÓN AL CONSEJO DE DIRECTORES</t>
  </si>
  <si>
    <t>CONTRIBUCIÓN SEGURIDAD SOCIAL Y RIESGO LABORAL</t>
  </si>
  <si>
    <t>PEAJES</t>
  </si>
  <si>
    <t>ALQUILER MAQUINARIAS Y EQUIPOS DE OFICINAS</t>
  </si>
  <si>
    <t>SEGUROS DE BIENES MUEBLES</t>
  </si>
  <si>
    <t>SERVICIOS TÉCNICOS Y PROFESIONALES</t>
  </si>
  <si>
    <t>PRODUCTOS DE PAPEL Y CARTÓN</t>
  </si>
  <si>
    <t>LA TABACALERA, S. A.</t>
  </si>
  <si>
    <t>INCLUSION VEHICULO ISUZU CHASIS MPATFS40JRT001431-2322</t>
  </si>
  <si>
    <t>A LA POLIZA 2-2-502-0278183-2-2-5030278669. VER NC</t>
  </si>
  <si>
    <t>NC 28192 D/F 31-10-24. POR $48,406.26</t>
  </si>
  <si>
    <t>AVANCE 20% S/CONT.2023-041 P/TERMINACION CONSTRUCCION VIVIENDAS 4 STDO DGO Y 1 SAN CRISTOBAL.</t>
  </si>
  <si>
    <t>TERCOTECH S.R.L</t>
  </si>
  <si>
    <t>AVANCE 20% S/CONTRATO 2023-042 P/CONST.CENTRO TEXTIL PEDRO GARCIA STGO</t>
  </si>
  <si>
    <t>SANCHTE CONSTRUCTION AND BUILDING,S.R.L</t>
  </si>
  <si>
    <t>AVANCE 20% S/CONTRATO 2023-040 P/TERMINACION PABADERIA REPOST. SABANA LARGA ELIAS PIÑA</t>
  </si>
  <si>
    <t>SO 3709</t>
  </si>
  <si>
    <t>Oct 2023</t>
  </si>
  <si>
    <t>OCTUBRE - DICIEMBRE 2023</t>
  </si>
  <si>
    <t>3 MESES</t>
  </si>
  <si>
    <t>9  MESES</t>
  </si>
  <si>
    <t>X  9  =</t>
  </si>
  <si>
    <t>AMORTIZACIÓN SEPT/2024</t>
  </si>
  <si>
    <t>Lic. Adobe</t>
  </si>
  <si>
    <t>Balance</t>
  </si>
  <si>
    <t xml:space="preserve">Licencia de Software Adobe </t>
  </si>
  <si>
    <t>OC 6475</t>
  </si>
  <si>
    <t>EVANGELISTA EUGENIA PEREZ DE LOS SANTOS</t>
  </si>
  <si>
    <t>SALVADOR YGNACIO RICOURT GOMEZ</t>
  </si>
  <si>
    <t>CERTIFICADOS DE BANCO DE RESERVAS</t>
  </si>
  <si>
    <t>Licencias ADOBE</t>
  </si>
  <si>
    <t>DESDE EL 1 OCTUBRE 2023 HASTA EL 30 SEPTIEMBRE 2024</t>
  </si>
  <si>
    <t>SOFTWARE ADOBE</t>
  </si>
  <si>
    <t>VIÁTICOS FUERA DEL PAÍS</t>
  </si>
  <si>
    <t xml:space="preserve">Grupo 002- útiles de cocina </t>
  </si>
  <si>
    <t>Grupo 004- útiles de limpieza</t>
  </si>
  <si>
    <t xml:space="preserve">Grupo 0011- otros </t>
  </si>
  <si>
    <t>Pintura</t>
  </si>
  <si>
    <t xml:space="preserve">Otros </t>
  </si>
  <si>
    <t>Sub-total existencias Almacén 1</t>
  </si>
  <si>
    <t>Sub-total existencias Almacén 2</t>
  </si>
  <si>
    <t>Caja general</t>
  </si>
  <si>
    <t>DESDE EL 31 OCT 2023 HASTA EL 31 OCT 2024</t>
  </si>
  <si>
    <t>002893273</t>
  </si>
  <si>
    <t>002893193</t>
  </si>
  <si>
    <t>002893252</t>
  </si>
  <si>
    <t>002893251</t>
  </si>
  <si>
    <t>002914829</t>
  </si>
  <si>
    <t>002914836</t>
  </si>
  <si>
    <t>PAGO Ck no. 39495, d/f 22-12-2023</t>
  </si>
  <si>
    <t>AMORTIZACIÓN NOV. / 2023</t>
  </si>
  <si>
    <t>AMORTIZACIÓN DIC. / 2023</t>
  </si>
  <si>
    <t>AMORTIZACIÓN ENERO / 2024</t>
  </si>
  <si>
    <t>Seguros Reservas prepagado</t>
  </si>
  <si>
    <t>Licencias Microsoft</t>
  </si>
  <si>
    <t>Licencias Jira</t>
  </si>
  <si>
    <t>Licencias Adobbe</t>
  </si>
  <si>
    <t>Corrección periodos anteriores</t>
  </si>
  <si>
    <t>Nuevo balance</t>
  </si>
  <si>
    <t>CAJA GENERAL</t>
  </si>
  <si>
    <t xml:space="preserve">Participación en las Empresas Reformadas     </t>
  </si>
  <si>
    <t>Gastos de operaciones:</t>
  </si>
  <si>
    <t>INTERESES CERTIFICADOS RD$ BANCO RESERVAS</t>
  </si>
  <si>
    <t>CERTIFICADOS BANCO DE RESERVAS DÓLARES A LA PAR</t>
  </si>
  <si>
    <t>CERTIFICADOS BANCO DE RESERVAS DÓLARES PRIMA</t>
  </si>
  <si>
    <t>INTERESES CUENTA AHORROS DÓLARES BANCO RESERVAS</t>
  </si>
  <si>
    <t>TOTAL INVERSIONES EN PATRIMONIO INSTITUCIONAL</t>
  </si>
  <si>
    <t>GANANCIA EN OPERACIONES CAMBIARIAS</t>
  </si>
  <si>
    <t>(PÉRDIDA) EN OPERACIONES CAMBIARIAS</t>
  </si>
  <si>
    <t>CONTRATISTAS DE OBRAS</t>
  </si>
  <si>
    <t>Cuentas por cobrar mantenimiento edificio</t>
  </si>
  <si>
    <t>NOVIEMBRE Y DICIEMBRE 2023</t>
  </si>
  <si>
    <t>ENERO - MARZO 2024</t>
  </si>
  <si>
    <t>ABRIL - OCTUBRE 2024</t>
  </si>
  <si>
    <t>Licencias de Software</t>
  </si>
  <si>
    <t>ENERO   -  SEPTIEMBRE 2024</t>
  </si>
  <si>
    <t>BR - 9606696545</t>
  </si>
  <si>
    <t>Cuenta  1104-02-998-011</t>
  </si>
  <si>
    <t>CARLOS RIVAS</t>
  </si>
  <si>
    <t>AYUNTAMIENTO DEL DISTRITO NACIONAL</t>
  </si>
  <si>
    <r>
      <t xml:space="preserve">CONSTRUCCION LOTE #14 DE 15 VIVIENDAS ECONOMICAS, EN SAN JUAN DE LA MAGUANA </t>
    </r>
    <r>
      <rPr>
        <b/>
        <sz val="12"/>
        <color indexed="17"/>
        <rFont val="Museo Sans 100"/>
        <family val="3"/>
      </rPr>
      <t>240 VIVIENDAS</t>
    </r>
  </si>
  <si>
    <r>
      <t xml:space="preserve">CONSTRUCCION LOTE #10 DE 15 VIVIENDAS ECONOMICAS, EN SAN JUAN DE LA MAGUANA </t>
    </r>
    <r>
      <rPr>
        <b/>
        <sz val="12"/>
        <color indexed="17"/>
        <rFont val="Museo Sans 100"/>
        <family val="3"/>
      </rPr>
      <t>240 VIVIENDAS</t>
    </r>
  </si>
  <si>
    <r>
      <t xml:space="preserve">CONSTRUCCION LOTE #12 DE 15 VIVIENDAS ECONOMICAS, EN SAN JUAN DE LA MAGUANA </t>
    </r>
    <r>
      <rPr>
        <b/>
        <sz val="12"/>
        <color indexed="17"/>
        <rFont val="Museo Sans 100"/>
        <family val="3"/>
      </rPr>
      <t>240 VIVIENDAS</t>
    </r>
  </si>
  <si>
    <r>
      <t xml:space="preserve">SUPLIDOR DE SERVICIO: </t>
    </r>
    <r>
      <rPr>
        <b/>
        <sz val="12"/>
        <rFont val="Museo Sans 100"/>
        <family val="3"/>
      </rPr>
      <t>QUANTUM</t>
    </r>
  </si>
  <si>
    <r>
      <t xml:space="preserve">ASEGURADORA: </t>
    </r>
    <r>
      <rPr>
        <b/>
        <sz val="12"/>
        <rFont val="Museo Sans 100"/>
        <family val="3"/>
      </rPr>
      <t>SEGUROS BANRESERVAS</t>
    </r>
  </si>
  <si>
    <r>
      <t xml:space="preserve">SUPLIDOR DE SERVICIO: </t>
    </r>
    <r>
      <rPr>
        <b/>
        <sz val="12"/>
        <rFont val="Museo Sans 100"/>
        <family val="3"/>
      </rPr>
      <t>NEVER OFF TECHNOLOGY</t>
    </r>
  </si>
  <si>
    <r>
      <t xml:space="preserve">SUPLIDOR DE SERVICIO: </t>
    </r>
    <r>
      <rPr>
        <b/>
        <sz val="12"/>
        <rFont val="Museo Sans 100"/>
        <family val="3"/>
      </rPr>
      <t>HISPANIOLA TECHNOLOGY</t>
    </r>
  </si>
  <si>
    <r>
      <t xml:space="preserve">SUPLIDOR DE SERVICIO: </t>
    </r>
    <r>
      <rPr>
        <b/>
        <sz val="12"/>
        <rFont val="Museo Sans 100"/>
        <family val="3"/>
      </rPr>
      <t>INTERCOMPUTER, SRL</t>
    </r>
  </si>
  <si>
    <t>Total General</t>
  </si>
  <si>
    <t xml:space="preserve">Enero </t>
  </si>
  <si>
    <t>Total acumulado</t>
  </si>
  <si>
    <t>Nómina mensual</t>
  </si>
  <si>
    <t>Dividido / 12 meses =</t>
  </si>
  <si>
    <t>Año 2024</t>
  </si>
  <si>
    <t>#</t>
  </si>
  <si>
    <t>Bono Aniversario (Fijos, Consejo, Militares) (1.0)</t>
  </si>
  <si>
    <t>Bono navidad militares (2.5)</t>
  </si>
  <si>
    <t>Bono desempeño Fijos (1.0)</t>
  </si>
  <si>
    <t>Bono Navidad Consejo  (2.0)</t>
  </si>
  <si>
    <t xml:space="preserve">   /  12  =</t>
  </si>
  <si>
    <t>Meses</t>
  </si>
  <si>
    <t>Enero</t>
  </si>
  <si>
    <t>Cada mes, en el 2024 será de</t>
  </si>
  <si>
    <t>Cálculo de la Provisión de Gratificaciones y Bonificaciones</t>
  </si>
  <si>
    <t>Bono a las secretarias</t>
  </si>
  <si>
    <t>Bono a las Madres</t>
  </si>
  <si>
    <t>Bonos a los Padres</t>
  </si>
  <si>
    <t>Bono Escolar</t>
  </si>
  <si>
    <t>Bono Navidad Fijos  (2.5)</t>
  </si>
  <si>
    <t>Total provisión RD$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</si>
  <si>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</si>
  <si>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</si>
  <si>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</si>
  <si>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</si>
  <si>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</si>
  <si>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</si>
  <si>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</si>
  <si>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</si>
  <si>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</si>
  <si>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</si>
  <si>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</si>
  <si>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Febrero</t>
  </si>
  <si>
    <t>GRUPO LUYAN S.R.L</t>
  </si>
  <si>
    <t>AVANCE 20% P/REALIZAR TRABAJOS PROY.CONST.DEL COMEDOR,ALMACEN,GARITA , BAÑO D/SEGURIDAD,EDIF.FONPER</t>
  </si>
  <si>
    <t>MEJORAS Y EMBELLECIMIENTO DE INSTALACIONES</t>
  </si>
  <si>
    <t>AMORTIZACIÓN FEB/2024</t>
  </si>
  <si>
    <t>MEM-DERS - Diciembre 2024</t>
  </si>
  <si>
    <t>ARTÍCULOS DE PLÁSTICO</t>
  </si>
  <si>
    <t>(Pérdida) en operaciones cambiarias</t>
  </si>
  <si>
    <t>INGRESO POR PARTICIPACIÓN EGEITABO</t>
  </si>
  <si>
    <t>INGRESO POR PARTICIPACIÓN MOLINOS DEL OZAMA</t>
  </si>
  <si>
    <t>INGRESO POR PARTICIPACIÓN EGEHAINA</t>
  </si>
  <si>
    <t>PRODUCTOS FARMACÉUTICOS Y CONEXOS</t>
  </si>
  <si>
    <t>ÚTILES DE ESCRITORIOS, OFICINAS Y ENSEÑANZA</t>
  </si>
  <si>
    <t>AMORTIZACIÓN BIENES INTANGIBLES</t>
  </si>
  <si>
    <t>TRANSFERENCIAS A OTRAS INSTITUCIONES PÚBLICAS</t>
  </si>
  <si>
    <t>EXISTENCIAS ALMACÉN 1</t>
  </si>
  <si>
    <t>EXISTENCIAS ALMACÉN 2</t>
  </si>
  <si>
    <t xml:space="preserve">Grupo 001- útiles de oficina </t>
  </si>
  <si>
    <t>Eléctricos</t>
  </si>
  <si>
    <t>Plomería</t>
  </si>
  <si>
    <t>Seguros de bienes</t>
  </si>
  <si>
    <t>SEGUROS DE BIENES</t>
  </si>
  <si>
    <t>AMORTIZACIÓN FEBRERO / 2024</t>
  </si>
  <si>
    <t>AMORTIZACIÓN MARZO / 2024</t>
  </si>
  <si>
    <t>AMORTIZACIÓN ABRIL / 2024</t>
  </si>
  <si>
    <t>AMORTIZACIÓN MAYO / 2024</t>
  </si>
  <si>
    <t>AMORTIZACIÓN JUNIO / 2024</t>
  </si>
  <si>
    <t>AMORTIZACIÓN JULIO / 2024</t>
  </si>
  <si>
    <t>AMORTIZACIÓN AGOSTO / 2024</t>
  </si>
  <si>
    <t>AMORTIZACIÓN SEPTIEMBRE / 2024</t>
  </si>
  <si>
    <t>AMORTIZACIÓN OCTUBRE / 2024</t>
  </si>
  <si>
    <t>AMORTIZACIÓN NOVIEMBRE / 2024</t>
  </si>
  <si>
    <t>Gastos de personal por pagar</t>
  </si>
  <si>
    <t>Salarios por pagar</t>
  </si>
  <si>
    <t>NOTA 10</t>
  </si>
  <si>
    <t>Retención ITBIS</t>
  </si>
  <si>
    <t>Retención impuesto sobre la renta proveedores</t>
  </si>
  <si>
    <t>Retención impuesto sobre la renta empleados</t>
  </si>
  <si>
    <t>cambiar nombre de las columnas mes actual mes anteriror variacion / acumulado mes actual acumulado mes anterior</t>
  </si>
  <si>
    <t xml:space="preserve"> x 57.50</t>
  </si>
  <si>
    <t>Condición correcta, con tasa al RD$57.50</t>
  </si>
  <si>
    <t>Condición Actual en sistema</t>
  </si>
  <si>
    <t>Corrección necesaria</t>
  </si>
  <si>
    <t>Papel de embalaje</t>
  </si>
  <si>
    <t>Mota superior</t>
  </si>
  <si>
    <t xml:space="preserve">CONTROL DE VACACIONES </t>
  </si>
  <si>
    <t>COLABORADORES AÑO 2024</t>
  </si>
  <si>
    <t>NOMBRE/APELLIDO</t>
  </si>
  <si>
    <t xml:space="preserve">DÍAS 
PENDIENTES </t>
  </si>
  <si>
    <t>SALARIO</t>
  </si>
  <si>
    <t>SALARIO PROMEDIO</t>
  </si>
  <si>
    <t xml:space="preserve">Total a Disfrutar </t>
  </si>
  <si>
    <t xml:space="preserve">Monto </t>
  </si>
  <si>
    <t>ANASTASIA ROSAURA   A AVILA UBRI</t>
  </si>
  <si>
    <t>CARLOS JOSE RIVAS GARCIA</t>
  </si>
  <si>
    <t xml:space="preserve">COORDINADOR </t>
  </si>
  <si>
    <t xml:space="preserve">ANALISTA </t>
  </si>
  <si>
    <t>FREDDY RADHAMES RODRIGUEZ DIAZ</t>
  </si>
  <si>
    <t>ILEANA SOLANYI MEDINA PERALTA</t>
  </si>
  <si>
    <t>JORGE LUIS  MATEO CASTILLO</t>
  </si>
  <si>
    <t>JOSE A  ALMONTE MARTE</t>
  </si>
  <si>
    <t>TÉCNICO SERVICIOS GENERALES</t>
  </si>
  <si>
    <t>CUENTAS POR PAGAR RETENCIONES</t>
  </si>
  <si>
    <t>TOTAL CUENTAS POR PAGAR CONTRATISTAS</t>
  </si>
  <si>
    <t xml:space="preserve">Cuentas por pagar proveedores                     </t>
  </si>
  <si>
    <t xml:space="preserve">Cuentas por pagar contratistas                           </t>
  </si>
  <si>
    <t>CUENTAS POR PAGAR EMPLEADOS</t>
  </si>
  <si>
    <t xml:space="preserve">TOTAL CUENTAS POR PAGAR PROVEEDORES </t>
  </si>
  <si>
    <t>CUENTAS POR PAGAR POR RETENCIONES</t>
  </si>
  <si>
    <t>OTROS</t>
  </si>
  <si>
    <t>CUENTAS POR PAGAR SERVICIOS Y HONORARIOS</t>
  </si>
  <si>
    <t>CUENTAS POR PAGAR CONSTRUCCIONES DE INFRAESTRUCTURA</t>
  </si>
  <si>
    <t>TOTAL DEDUCCIONES Y RETENCIONES POR PAGAR</t>
  </si>
  <si>
    <t>NOTA 11</t>
  </si>
  <si>
    <t>Deducciones y Retenciones por pagar</t>
  </si>
  <si>
    <t>SALARIOS POR PAGAR</t>
  </si>
  <si>
    <t>TOTAL GASTOS DE PERSONAL POR PAGAR</t>
  </si>
  <si>
    <t>Detalle de Salarios por pagar</t>
  </si>
  <si>
    <t>Cálculo de la provisión de Regalía Navideña</t>
  </si>
  <si>
    <t>TOTAL GASTOS PAGADOS POR ANTICIPADO</t>
  </si>
  <si>
    <t>GASTOS PAGADOS POR ANTICIPADO:</t>
  </si>
  <si>
    <t>TOTAL INVENTARIO</t>
  </si>
  <si>
    <t>INVENTARIO:</t>
  </si>
  <si>
    <t>Inventario</t>
  </si>
  <si>
    <t xml:space="preserve">Gastos pagados por anticipado               </t>
  </si>
  <si>
    <t>Donaciones (Equipos p/proyectos - 2) 0023</t>
  </si>
  <si>
    <t>Gastos de representación presidente Fonper abril 2024</t>
  </si>
  <si>
    <t>SERVICIOS FUNERARIOS Y GASTOS CONEXOS</t>
  </si>
  <si>
    <t>ACABADOS TEXTILES</t>
  </si>
  <si>
    <t>Nota 13</t>
  </si>
  <si>
    <t xml:space="preserve">total de activo por total total propieda planta y equipo neto </t>
  </si>
  <si>
    <t>TOTAL AVANCES A FUTURAS CAPITALIZACIONES</t>
  </si>
  <si>
    <t>Nota 7</t>
  </si>
  <si>
    <t>Avances a Futuras Capitalizaciones</t>
  </si>
  <si>
    <t>Avances a futuras capitalizaciones</t>
  </si>
  <si>
    <t>Deducciones y retenciones por pagar</t>
  </si>
  <si>
    <t xml:space="preserve">Patrimonio Institucional </t>
  </si>
  <si>
    <t>PATRIMONIO INSTITUCIONAL</t>
  </si>
  <si>
    <t>CHEQUE No.</t>
  </si>
  <si>
    <t>MONTO</t>
  </si>
  <si>
    <t>Cuentas por pagar Contratistas y Servicios y Honorarios</t>
  </si>
  <si>
    <t>TOTAL CUENTAS POR PAGAR CONTRATISTAS Y SERVICIOS Y HONORARIOS</t>
  </si>
  <si>
    <t>CUENTAS POR PAGAR CONSTRUCCIONES DE INFRAESTRUCTURAS</t>
  </si>
  <si>
    <t>NOTA 12</t>
  </si>
  <si>
    <t>(Pérdida) por deterioro en activos</t>
  </si>
  <si>
    <t>(PÉRDIDA) POR DETERIORO EN ACTIVOS</t>
  </si>
  <si>
    <t>Otros ingresos (gastos) no operacionales:</t>
  </si>
  <si>
    <t>Total ingresos</t>
  </si>
  <si>
    <t>Total gastos de operaciones</t>
  </si>
  <si>
    <t>Total otros ingresos (gastos) no operacionales:</t>
  </si>
  <si>
    <t>OTRAS CUENTAS POR PAGAR:</t>
  </si>
  <si>
    <t>DEDUCCIONES Y RETENCIONES POR PAGAR:</t>
  </si>
  <si>
    <t>GASTOS DE PERSONAL POR PAGAR:</t>
  </si>
  <si>
    <t>CUENTAS POR PAGAR CONTRATISTAS Y SERVICIOS Y HONORARIOS:</t>
  </si>
  <si>
    <t>AVANCES A FUTURAS CAPITALIZACIONES:</t>
  </si>
  <si>
    <t>LELIA MARCELL MENDOZA LORA</t>
  </si>
  <si>
    <t>LEON ALTAGRACIA GOMEZ DIAZ</t>
  </si>
  <si>
    <t>ASESOR</t>
  </si>
  <si>
    <t>LICET IVANA BELTRE VALERA</t>
  </si>
  <si>
    <t>ASESOR LEGAL</t>
  </si>
  <si>
    <t>LISBET RODRIGUEZ GUZMAN</t>
  </si>
  <si>
    <t>LUIS ALFREDO FUCHU ARTILES</t>
  </si>
  <si>
    <t>MARLENY A MEDRANO RODRIGUEZ</t>
  </si>
  <si>
    <t>DIRECTORA</t>
  </si>
  <si>
    <t>MARTHA ARELYS BEATO ABREU</t>
  </si>
  <si>
    <t>MAXIMO A PERALTA MOREL</t>
  </si>
  <si>
    <t>MARINO ACOSTA GUANTE</t>
  </si>
  <si>
    <t>MERCEDES IVELICES GUZMAN VALERIO</t>
  </si>
  <si>
    <t>MIGUEL ALFONSO DE LA ROSA  ARIAS</t>
  </si>
  <si>
    <t>NATHALI ROCIO RIVERA ORTIZ</t>
  </si>
  <si>
    <t>RECEPCIONISTA</t>
  </si>
  <si>
    <t>NICOLLE HARVEY PICHARDO</t>
  </si>
  <si>
    <t>NIKAURY ARACENA MEJIA</t>
  </si>
  <si>
    <t>NIVIA CLARIBEL QUEZADA  FELIZ DE PEÑA</t>
  </si>
  <si>
    <t>NYSA MARIA FERREIRA BALBI</t>
  </si>
  <si>
    <t>TECNICO DE RECURSOS HUMANOS</t>
  </si>
  <si>
    <t>OLIVER SORIANO OVIEDO</t>
  </si>
  <si>
    <t>INGENIERO DE ESTRUCTURA</t>
  </si>
  <si>
    <t>OMAR DE JESUS COHEN SANDER</t>
  </si>
  <si>
    <t>PEDRO DANIEL ESQUEA MONTILLA</t>
  </si>
  <si>
    <t>RAFAEL EDUARDO RAMIREZ ISIDOR</t>
  </si>
  <si>
    <t>ROQUE ORLANDO MORETA RODRIGUEZ</t>
  </si>
  <si>
    <t>ROSA  ANTONIA PEREZ HEREDIA</t>
  </si>
  <si>
    <t>ROSSY LISVERY VOLQUEZ PEREZ</t>
  </si>
  <si>
    <t>RUBEN DARIO ALMONTE MATEO</t>
  </si>
  <si>
    <t>RUDDY LANI GARCIA  ALCANTARA</t>
  </si>
  <si>
    <t>SAMUEL JUNIOR ULLOA MARIANO</t>
  </si>
  <si>
    <t>SHANTAL MARIEL BAUTISTA PERREAUX</t>
  </si>
  <si>
    <t>SILVIO J PEREZ VALDEZ</t>
  </si>
  <si>
    <t>COORDINADOR (A) DE INGENIERIA</t>
  </si>
  <si>
    <t>TOMAS AUGUSTO MENDOZA TORRES</t>
  </si>
  <si>
    <t>ABOGADO III</t>
  </si>
  <si>
    <t>VERONICA POLANCO REYNOSO</t>
  </si>
  <si>
    <t>VICTOR M HILARIO LORA</t>
  </si>
  <si>
    <t>YANCARLOS HERNANDEZ ENCARNACION</t>
  </si>
  <si>
    <t>YANIL STEFANY MEJIA PIMENTEL</t>
  </si>
  <si>
    <t>Provesion mensual</t>
  </si>
  <si>
    <t>Monto de provisión mensual</t>
  </si>
  <si>
    <t xml:space="preserve">Ajuste necesario </t>
  </si>
  <si>
    <t>NC 2642</t>
  </si>
  <si>
    <t>NC 2641</t>
  </si>
  <si>
    <t>GRUPO LUYAN, SRL</t>
  </si>
  <si>
    <t>Propiedad, Planta y Equipos, Neto</t>
  </si>
  <si>
    <t>Total depreciación acumulada</t>
  </si>
  <si>
    <t>Total costo de adquisición</t>
  </si>
  <si>
    <t>Total Propiedad, planta y equipos, Neto</t>
  </si>
  <si>
    <t xml:space="preserve">Cuentas por pagar </t>
  </si>
  <si>
    <t>CUENTAS POR PAGAR:</t>
  </si>
  <si>
    <t>MATERIALES DE INFORMATICA</t>
  </si>
  <si>
    <r>
      <t xml:space="preserve">OC #6572, FACT NO. </t>
    </r>
    <r>
      <rPr>
        <b/>
        <sz val="12"/>
        <rFont val="Museo Sans 100"/>
        <family val="3"/>
      </rPr>
      <t>5603</t>
    </r>
  </si>
  <si>
    <t>MARZO  -   DICIEMBRE 2024</t>
  </si>
  <si>
    <t>ENERO   -   FEBRERO 2025</t>
  </si>
  <si>
    <t>AMORTIZACIÓN MAR/2024</t>
  </si>
  <si>
    <t>AMORTIZACIÓN ABR/2024</t>
  </si>
  <si>
    <t>AMORTIZACIÓN JUN/2024</t>
  </si>
  <si>
    <t>AMORTIZACIÓN MAY/2024</t>
  </si>
  <si>
    <t>AMORTIZACIÓN JUL/2024</t>
  </si>
  <si>
    <t>AMORTIZACIÓN SEP./2024</t>
  </si>
  <si>
    <t>AMORTIZACIÓN OCT./2024</t>
  </si>
  <si>
    <t>AMORTIZACIÓN NOV./2024</t>
  </si>
  <si>
    <t>AMORTIZACIÓN DIC./2024</t>
  </si>
  <si>
    <t>AMORTIZACIÓN FEB./2025</t>
  </si>
  <si>
    <t>AMORTIZACIÓN ENE./2025</t>
  </si>
  <si>
    <t>DESDE EL 16 MARZO 2024 HASTA EL 15 MARZO 2025</t>
  </si>
  <si>
    <t>Junio 2024</t>
  </si>
  <si>
    <t>Valor considerado en el sistema jun 24</t>
  </si>
  <si>
    <t>BR - 9607211921</t>
  </si>
  <si>
    <t xml:space="preserve">     /  12  =</t>
  </si>
  <si>
    <t>Ajuste pendiente</t>
  </si>
  <si>
    <t>HLB AUDITORES &amp; CONSULTORES, SRL</t>
  </si>
  <si>
    <t>OBELCA, SRL</t>
  </si>
  <si>
    <t>COMPAÑIA DOMINICANA DE TELEFONOS</t>
  </si>
  <si>
    <t>PUBLICIDAD Y PROPAGANDA</t>
  </si>
  <si>
    <t>CESAR ANDRES PICHARDO FERMIN</t>
  </si>
  <si>
    <t>SYMTECHSOLAR REP. DOM., SRL</t>
  </si>
  <si>
    <t>JMSM DISEÑOS Y CONSTRUCCIONES, SRL</t>
  </si>
  <si>
    <t>LOURDES YNMACULADA DE OLEO VALENZUELA</t>
  </si>
  <si>
    <t>Contribución la Seguridad Social por pagar</t>
  </si>
  <si>
    <t>CONTRIBUCION A LA SEG SOCIAL POR PAGAR</t>
  </si>
  <si>
    <t>Detalle Avances a Futuras Capitalizaciones</t>
  </si>
  <si>
    <t>Intereses de cuenta Ahorros US$ BR</t>
  </si>
  <si>
    <t>Contabilidad</t>
  </si>
  <si>
    <t>Dif</t>
  </si>
  <si>
    <t>FONDO PATRIMONIAL DE LAS EMP. REFORMADAS</t>
  </si>
  <si>
    <t>FECHA DESDE.</t>
  </si>
  <si>
    <t>FECHA HASTA.</t>
  </si>
  <si>
    <t>BALANCE INICIAL</t>
  </si>
  <si>
    <t>TIPO MOVI</t>
  </si>
  <si>
    <t>CHEQUE</t>
  </si>
  <si>
    <t>SALDO</t>
  </si>
  <si>
    <t>DEBITO</t>
  </si>
  <si>
    <t>Débito</t>
  </si>
  <si>
    <t>Totales</t>
  </si>
  <si>
    <t>SUCURSAL   01</t>
  </si>
  <si>
    <t>HVOLQUEZ CONSULTING SERV, SRL</t>
  </si>
  <si>
    <t>------------------------------------------------------------------------------------------------------------------------------------------------------</t>
  </si>
  <si>
    <t>Reclasificaciones</t>
  </si>
  <si>
    <t>Días 2024</t>
  </si>
  <si>
    <t>Días pendiente a disfrutar 2024</t>
  </si>
  <si>
    <t>MOBILIARIOS Y EQUIPOS DE OFICINA</t>
  </si>
  <si>
    <t>DEPRECIACIÓN MOBILIARIOS Y EQUIPOS DE OFICINA</t>
  </si>
  <si>
    <t>Nota 6</t>
  </si>
  <si>
    <t>IMPRESIÓN Y ENCUADERNACIÓN</t>
  </si>
  <si>
    <t>CONTRIBUCIÓN A EMPLEADOS POR GASTOS FÚNEBRES</t>
  </si>
  <si>
    <t>MANTENIMIENTO Y REPARACIÓN MOBILIARIOS Y EQUIPOS</t>
  </si>
  <si>
    <t>MANTENIMIENTO EQUIPOS DE TRANSPORTE, TRACCIÓN Y</t>
  </si>
  <si>
    <t>MANTENIMIENTO DEL SISTEMA ELÉCTRICO</t>
  </si>
  <si>
    <t>ÚTILES MÉDICOS Y QUIRÚRGICOS</t>
  </si>
  <si>
    <t>COMPRA DE EQUIPOS PARA PROYECTOS</t>
  </si>
  <si>
    <t>TRANSFERENCIA DE CAPITAL A INSTITUCIONES SIN FINES DE LUCRO</t>
  </si>
  <si>
    <t>AL 31 DE JULIO DEL 2024</t>
  </si>
  <si>
    <t>AL 31 DEJULIO DEL 2024</t>
  </si>
  <si>
    <t>Considerado en el sistema julio 24</t>
  </si>
  <si>
    <t>Ajuste necesario julio 24</t>
  </si>
  <si>
    <t>Contabilizado julio</t>
  </si>
  <si>
    <t>BR - 9607363302</t>
  </si>
  <si>
    <t>Compensación horas extras julio 2024</t>
  </si>
  <si>
    <t>Compensación almuerzo militares seguridad 2da quincena julio 2024</t>
  </si>
  <si>
    <t>Compensación almuerzo a militares julio 2024</t>
  </si>
  <si>
    <t>Compensación almuerzo a empleados fijos julio 2024</t>
  </si>
  <si>
    <t>TRANSOLUCION, SRL</t>
  </si>
  <si>
    <t>HISPANIOLA TECHNOLOGY - HISTECH SRL</t>
  </si>
  <si>
    <t>FARMATEM, S.R.L.</t>
  </si>
  <si>
    <t>COLECTOR DE IMPUESTOS (Retenciones Proveedores jun 24)</t>
  </si>
  <si>
    <t>COLECTOR DE ITBIS (Retenciones Proveedores jun 24)</t>
  </si>
  <si>
    <t>Transf.</t>
  </si>
  <si>
    <t>PROVEEDOR    003130   EDEESTE</t>
  </si>
  <si>
    <t>PROVEEDOR     003071     LA TABACALERA, S. A.</t>
  </si>
  <si>
    <t>Grupo 0016- otras herramientas</t>
  </si>
  <si>
    <t>MOBILIARIOS Y EQUIPOS, NETO</t>
  </si>
  <si>
    <t>Mobiliarios y equipos, Neto</t>
  </si>
  <si>
    <t>Julio 2024</t>
  </si>
  <si>
    <t>TOTAL MOBILIARIOS Y EQUIPOS,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</si>
</sst>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&quot;$&quot;#,##0.00_);[Red]\(&quot;$&quot;#,##0.00\)"/>
    <numFmt numFmtId="165" formatCode="_(* #,##0.00_);_(* \(#,##0.00\);_(* &quot;-&quot;??_);_(@_)"/>
    <numFmt numFmtId="166" formatCode="_-* #,##0.00_R_D_$_-;\-* #,##0.00_R_D_$_-;_-* &quot;-&quot;??_R_D_$_-;_-@_-"/>
    <numFmt numFmtId="167" formatCode="mmmm\ \-\ yyyy"/>
    <numFmt numFmtId="168" formatCode="_-* #,##0.00\ _P_t_s_-;\-* #,##0.00\ _P_t_s_-;_-* &quot;-&quot;??\ _P_t_s_-;_-@_-"/>
    <numFmt numFmtId="169" formatCode="_(* #,##0_);_(* \(#,##0\);_(* &quot;-&quot;??_);_(@_)"/>
    <numFmt numFmtId="170" formatCode="0.000000000"/>
    <numFmt numFmtId="171" formatCode="0.0000000000"/>
    <numFmt numFmtId="172" formatCode="0000\-00\-00"/>
    <numFmt numFmtId="173" formatCode="[$-409]d\-mmm\-yy;@"/>
    <numFmt numFmtId="174" formatCode="[$-409]dd\-mmm\-yy;@"/>
    <numFmt numFmtId="175" formatCode="_(* #,##0.000000_);_(* \(#,##0.000000\);_(* &quot;-&quot;??_);_(@_)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Museo Sans 100"/>
      <family val="3"/>
    </font>
    <font>
      <sz val="12"/>
      <color rgb="FFFF0000"/>
      <name val="Museo Sans 100"/>
      <family val="3"/>
    </font>
    <font>
      <b/>
      <sz val="14"/>
      <name val="Museo Sans 100"/>
      <family val="3"/>
    </font>
    <font>
      <sz val="14"/>
      <name val="Museo Sans 100"/>
      <family val="3"/>
    </font>
    <font>
      <sz val="14"/>
      <color rgb="FFFF0000"/>
      <name val="Museo Sans 100"/>
      <family val="3"/>
    </font>
    <font>
      <b/>
      <sz val="14"/>
      <color theme="4" tint="-0.249977111117893"/>
      <name val="Museo Sans 100"/>
      <family val="3"/>
    </font>
    <font>
      <b/>
      <sz val="12"/>
      <name val="Museo Sans 100"/>
      <family val="3"/>
    </font>
    <font>
      <sz val="11"/>
      <color theme="1"/>
      <name val="Museo Sans 100"/>
      <family val="3"/>
    </font>
    <font>
      <sz val="10"/>
      <name val="Museo Sans 100"/>
      <family val="3"/>
    </font>
    <font>
      <sz val="12"/>
      <color theme="1"/>
      <name val="Museo Sans 100"/>
      <family val="3"/>
    </font>
    <font>
      <sz val="12"/>
      <color theme="2" tint="-0.499984740745262"/>
      <name val="Museo Sans 100"/>
      <family val="3"/>
    </font>
    <font>
      <b/>
      <sz val="12"/>
      <color theme="1"/>
      <name val="Museo Sans 100"/>
      <family val="3"/>
    </font>
    <font>
      <b/>
      <i/>
      <sz val="12"/>
      <name val="Museo Sans 100"/>
      <family val="3"/>
    </font>
    <font>
      <u val="singleAccounting"/>
      <sz val="12"/>
      <name val="Museo Sans 100"/>
      <family val="3"/>
    </font>
    <font>
      <b/>
      <u val="doubleAccounting"/>
      <sz val="12"/>
      <name val="Museo Sans 100"/>
      <family val="3"/>
    </font>
    <font>
      <u val="singleAccounting"/>
      <sz val="12"/>
      <color theme="1"/>
      <name val="Museo Sans 100"/>
      <family val="3"/>
    </font>
    <font>
      <b/>
      <u val="doubleAccounting"/>
      <sz val="12"/>
      <color theme="1"/>
      <name val="Museo Sans 100"/>
      <family val="3"/>
    </font>
    <font>
      <b/>
      <sz val="12"/>
      <color indexed="17"/>
      <name val="Museo Sans 100"/>
      <family val="3"/>
    </font>
    <font>
      <i/>
      <sz val="12"/>
      <name val="Museo Sans 100"/>
      <family val="3"/>
    </font>
    <font>
      <sz val="11"/>
      <name val="Museo Sans 100"/>
      <family val="3"/>
    </font>
    <font>
      <sz val="9"/>
      <name val="Museo Sans 100"/>
      <family val="3"/>
    </font>
    <font>
      <b/>
      <sz val="12"/>
      <color rgb="FFFF0000"/>
      <name val="Museo Sans 100"/>
      <family val="3"/>
    </font>
    <font>
      <u/>
      <sz val="12"/>
      <color theme="1"/>
      <name val="Museo Sans 100"/>
      <family val="3"/>
    </font>
    <font>
      <b/>
      <u val="double"/>
      <sz val="12"/>
      <name val="Museo Sans 100"/>
      <family val="3"/>
    </font>
    <font>
      <u val="doubleAccounting"/>
      <sz val="12"/>
      <color theme="1"/>
      <name val="Museo Sans 100"/>
      <family val="3"/>
    </font>
    <font>
      <b/>
      <sz val="14"/>
      <color rgb="FFFF0000"/>
      <name val="Museo Sans 100"/>
      <family val="3"/>
    </font>
    <font>
      <u val="singleAccounting"/>
      <sz val="12"/>
      <color rgb="FFFF0000"/>
      <name val="Museo Sans 100"/>
      <family val="3"/>
    </font>
    <font>
      <i/>
      <sz val="11"/>
      <name val="Museo Sans 100"/>
      <family val="3"/>
    </font>
    <font>
      <b/>
      <sz val="8"/>
      <name val="Museo Sans 100"/>
      <family val="3"/>
    </font>
    <font>
      <b/>
      <u/>
      <sz val="12"/>
      <name val="Museo Sans 100"/>
      <family val="3"/>
    </font>
    <font>
      <b/>
      <sz val="11"/>
      <name val="Museo Sans 100"/>
      <family val="3"/>
    </font>
    <font>
      <b/>
      <i/>
      <sz val="12"/>
      <color rgb="FFFF0000"/>
      <name val="Museo Sans 100"/>
      <family val="3"/>
    </font>
    <font>
      <u/>
      <sz val="12"/>
      <color rgb="FFFF0000"/>
      <name val="Museo Sans 100"/>
      <family val="3"/>
    </font>
    <font>
      <b/>
      <u/>
      <sz val="12"/>
      <color theme="1"/>
      <name val="Museo Sans 100"/>
      <family val="3"/>
    </font>
    <font>
      <u/>
      <sz val="10"/>
      <color theme="10"/>
      <name val="Arial"/>
      <family val="2"/>
    </font>
    <font>
      <sz val="11"/>
      <name val="Aptos"/>
      <family val="2"/>
    </font>
    <font>
      <u/>
      <sz val="12"/>
      <name val="Museo Sans 100"/>
      <family val="3"/>
    </font>
    <font>
      <b/>
      <u val="singleAccounting"/>
      <sz val="12"/>
      <color theme="1"/>
      <name val="Museo Sans 100"/>
      <family val="3"/>
    </font>
    <font>
      <sz val="8"/>
      <name val="Museo Sans 100"/>
      <family val="3"/>
    </font>
    <font>
      <sz val="13"/>
      <name val="Museo Sans 100"/>
      <family val="3"/>
    </font>
    <font>
      <u val="singleAccounting"/>
      <sz val="13"/>
      <name val="Museo Sans 100"/>
      <family val="3"/>
    </font>
    <font>
      <b/>
      <sz val="13"/>
      <name val="Museo Sans 100"/>
      <family val="3"/>
    </font>
    <font>
      <b/>
      <u val="singleAccounting"/>
      <sz val="13"/>
      <name val="Museo Sans 100"/>
      <family val="3"/>
    </font>
    <font>
      <b/>
      <u val="doubleAccounting"/>
      <sz val="13"/>
      <name val="Museo Sans 100"/>
      <family val="3"/>
    </font>
    <font>
      <b/>
      <sz val="11"/>
      <color rgb="FFFF0000"/>
      <name val="Museo Sans 100"/>
      <family val="3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 val="double"/>
      <sz val="11"/>
      <name val="Calibri"/>
      <family val="2"/>
      <scheme val="minor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0">
    <xf numFmtId="0" fontId="0" fillId="0" borderId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1" fillId="0" borderId="0" applyFont="0" applyFill="0" applyBorder="0" applyAlignment="0" applyProtection="0"/>
    <xf numFmtId="166" fontId="35" fillId="0" borderId="0" applyFont="0" applyFill="0" applyBorder="0" applyAlignment="0" applyProtection="0"/>
    <xf numFmtId="172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3" fillId="3" borderId="31" applyNumberFormat="0" applyFont="0" applyAlignment="0" applyProtection="0"/>
    <xf numFmtId="0" fontId="35" fillId="3" borderId="31" applyNumberFormat="0" applyFont="0" applyAlignment="0" applyProtection="0"/>
    <xf numFmtId="9" fontId="3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32" applyNumberFormat="0" applyFill="0" applyAlignment="0" applyProtection="0"/>
    <xf numFmtId="0" fontId="30" fillId="0" borderId="0"/>
    <xf numFmtId="165" fontId="30" fillId="0" borderId="0" applyFont="0" applyFill="0" applyBorder="0" applyAlignment="0" applyProtection="0"/>
    <xf numFmtId="0" fontId="29" fillId="0" borderId="0"/>
    <xf numFmtId="165" fontId="29" fillId="0" borderId="0" applyFont="0" applyFill="0" applyBorder="0" applyAlignment="0" applyProtection="0"/>
    <xf numFmtId="0" fontId="28" fillId="0" borderId="0"/>
    <xf numFmtId="165" fontId="28" fillId="0" borderId="0" applyFont="0" applyFill="0" applyBorder="0" applyAlignment="0" applyProtection="0"/>
    <xf numFmtId="0" fontId="27" fillId="0" borderId="0"/>
    <xf numFmtId="165" fontId="27" fillId="0" borderId="0" applyFont="0" applyFill="0" applyBorder="0" applyAlignment="0" applyProtection="0"/>
    <xf numFmtId="0" fontId="26" fillId="0" borderId="0"/>
    <xf numFmtId="9" fontId="40" fillId="0" borderId="0" applyFont="0" applyFill="0" applyBorder="0" applyAlignment="0" applyProtection="0"/>
    <xf numFmtId="0" fontId="25" fillId="0" borderId="0"/>
    <xf numFmtId="165" fontId="25" fillId="0" borderId="0" applyFont="0" applyFill="0" applyBorder="0" applyAlignment="0" applyProtection="0"/>
    <xf numFmtId="0" fontId="31" fillId="0" borderId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36" fillId="2" borderId="0" applyNumberFormat="0" applyBorder="0" applyAlignment="0" applyProtection="0"/>
    <xf numFmtId="0" fontId="25" fillId="0" borderId="0"/>
    <xf numFmtId="0" fontId="25" fillId="3" borderId="31" applyNumberFormat="0" applyFont="0" applyAlignment="0" applyProtection="0"/>
    <xf numFmtId="9" fontId="25" fillId="0" borderId="0" applyFont="0" applyFill="0" applyBorder="0" applyAlignment="0" applyProtection="0"/>
    <xf numFmtId="0" fontId="25" fillId="0" borderId="0"/>
    <xf numFmtId="165" fontId="25" fillId="0" borderId="0" applyFont="0" applyFill="0" applyBorder="0" applyAlignment="0" applyProtection="0"/>
    <xf numFmtId="0" fontId="25" fillId="0" borderId="0"/>
    <xf numFmtId="165" fontId="25" fillId="0" borderId="0" applyFont="0" applyFill="0" applyBorder="0" applyAlignment="0" applyProtection="0"/>
    <xf numFmtId="0" fontId="25" fillId="0" borderId="0"/>
    <xf numFmtId="165" fontId="25" fillId="0" borderId="0" applyFont="0" applyFill="0" applyBorder="0" applyAlignment="0" applyProtection="0"/>
    <xf numFmtId="0" fontId="25" fillId="0" borderId="0"/>
    <xf numFmtId="165" fontId="25" fillId="0" borderId="0" applyFont="0" applyFill="0" applyBorder="0" applyAlignment="0" applyProtection="0"/>
    <xf numFmtId="0" fontId="25" fillId="0" borderId="0"/>
    <xf numFmtId="9" fontId="31" fillId="0" borderId="0" applyFont="0" applyFill="0" applyBorder="0" applyAlignment="0" applyProtection="0"/>
    <xf numFmtId="0" fontId="24" fillId="0" borderId="0"/>
    <xf numFmtId="165" fontId="24" fillId="0" borderId="0" applyFont="0" applyFill="0" applyBorder="0" applyAlignment="0" applyProtection="0"/>
    <xf numFmtId="0" fontId="23" fillId="0" borderId="0"/>
    <xf numFmtId="0" fontId="22" fillId="0" borderId="0"/>
    <xf numFmtId="0" fontId="21" fillId="0" borderId="0"/>
    <xf numFmtId="0" fontId="20" fillId="0" borderId="0"/>
    <xf numFmtId="0" fontId="76" fillId="0" borderId="0" applyNumberFormat="0" applyFill="0" applyBorder="0" applyAlignment="0" applyProtection="0"/>
    <xf numFmtId="0" fontId="19" fillId="0" borderId="0"/>
    <xf numFmtId="0" fontId="18" fillId="0" borderId="0"/>
    <xf numFmtId="0" fontId="17" fillId="0" borderId="0"/>
    <xf numFmtId="165" fontId="17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165" fontId="13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165" fontId="7" fillId="0" borderId="0" applyFont="0" applyFill="0" applyBorder="0" applyAlignment="0" applyProtection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512">
    <xf numFmtId="0" fontId="0" fillId="0" borderId="0" xfId="0"/>
    <xf numFmtId="0" fontId="42" fillId="0" borderId="0" xfId="0" applyFont="1"/>
    <xf numFmtId="165" fontId="42" fillId="0" borderId="0" xfId="4" applyFont="1"/>
    <xf numFmtId="0" fontId="43" fillId="0" borderId="0" xfId="0" applyFont="1"/>
    <xf numFmtId="0" fontId="44" fillId="0" borderId="0" xfId="0" applyFont="1" applyAlignment="1">
      <alignment horizontal="center"/>
    </xf>
    <xf numFmtId="165" fontId="45" fillId="0" borderId="0" xfId="4" applyFont="1" applyFill="1"/>
    <xf numFmtId="0" fontId="46" fillId="0" borderId="0" xfId="0" applyFont="1"/>
    <xf numFmtId="0" fontId="45" fillId="0" borderId="0" xfId="0" applyFont="1"/>
    <xf numFmtId="14" fontId="45" fillId="0" borderId="0" xfId="0" applyNumberFormat="1" applyFont="1"/>
    <xf numFmtId="167" fontId="45" fillId="0" borderId="0" xfId="0" applyNumberFormat="1" applyFont="1" applyAlignment="1" applyProtection="1">
      <alignment horizontal="center"/>
      <protection locked="0"/>
    </xf>
    <xf numFmtId="167" fontId="45" fillId="0" borderId="0" xfId="0" applyNumberFormat="1" applyFont="1" applyAlignment="1">
      <alignment horizontal="center"/>
    </xf>
    <xf numFmtId="165" fontId="45" fillId="0" borderId="0" xfId="4" applyFont="1"/>
    <xf numFmtId="0" fontId="45" fillId="0" borderId="0" xfId="0" applyFont="1" applyAlignment="1">
      <alignment vertical="center"/>
    </xf>
    <xf numFmtId="165" fontId="44" fillId="0" borderId="13" xfId="4" applyFont="1" applyBorder="1" applyAlignment="1">
      <alignment horizontal="center" vertical="center" wrapText="1"/>
    </xf>
    <xf numFmtId="165" fontId="45" fillId="0" borderId="0" xfId="4" applyFont="1" applyAlignment="1">
      <alignment vertical="center"/>
    </xf>
    <xf numFmtId="0" fontId="46" fillId="0" borderId="0" xfId="0" applyFont="1" applyAlignment="1">
      <alignment vertical="center"/>
    </xf>
    <xf numFmtId="0" fontId="48" fillId="0" borderId="0" xfId="0" applyFont="1"/>
    <xf numFmtId="165" fontId="42" fillId="0" borderId="0" xfId="4" applyFont="1" applyAlignment="1"/>
    <xf numFmtId="165" fontId="43" fillId="0" borderId="0" xfId="4" applyFont="1" applyAlignment="1"/>
    <xf numFmtId="0" fontId="42" fillId="0" borderId="0" xfId="0" applyFont="1" applyAlignment="1">
      <alignment horizontal="center"/>
    </xf>
    <xf numFmtId="165" fontId="42" fillId="0" borderId="0" xfId="0" applyNumberFormat="1" applyFont="1"/>
    <xf numFmtId="165" fontId="48" fillId="0" borderId="3" xfId="4" applyFont="1" applyBorder="1" applyAlignment="1"/>
    <xf numFmtId="165" fontId="43" fillId="0" borderId="0" xfId="0" applyNumberFormat="1" applyFont="1"/>
    <xf numFmtId="165" fontId="42" fillId="0" borderId="0" xfId="4" applyFont="1" applyBorder="1" applyAlignment="1"/>
    <xf numFmtId="165" fontId="42" fillId="0" borderId="1" xfId="4" applyFont="1" applyBorder="1" applyAlignment="1"/>
    <xf numFmtId="165" fontId="48" fillId="0" borderId="0" xfId="4" applyFont="1" applyAlignment="1"/>
    <xf numFmtId="165" fontId="48" fillId="0" borderId="7" xfId="4" applyFont="1" applyBorder="1" applyAlignment="1"/>
    <xf numFmtId="0" fontId="42" fillId="0" borderId="0" xfId="0" applyFont="1" applyProtection="1">
      <protection locked="0"/>
    </xf>
    <xf numFmtId="165" fontId="42" fillId="0" borderId="0" xfId="4" applyFont="1" applyAlignment="1">
      <alignment horizontal="center"/>
    </xf>
    <xf numFmtId="171" fontId="42" fillId="0" borderId="0" xfId="0" applyNumberFormat="1" applyFont="1"/>
    <xf numFmtId="169" fontId="42" fillId="0" borderId="0" xfId="4" applyNumberFormat="1" applyFont="1"/>
    <xf numFmtId="165" fontId="43" fillId="0" borderId="0" xfId="4" applyFont="1"/>
    <xf numFmtId="170" fontId="42" fillId="0" borderId="0" xfId="0" applyNumberFormat="1" applyFont="1"/>
    <xf numFmtId="4" fontId="42" fillId="0" borderId="0" xfId="0" applyNumberFormat="1" applyFont="1"/>
    <xf numFmtId="0" fontId="42" fillId="0" borderId="0" xfId="0" applyFont="1" applyAlignment="1">
      <alignment vertical="top"/>
    </xf>
    <xf numFmtId="165" fontId="42" fillId="0" borderId="0" xfId="4" applyFont="1" applyAlignment="1">
      <alignment vertical="top"/>
    </xf>
    <xf numFmtId="0" fontId="47" fillId="0" borderId="0" xfId="0" applyFont="1"/>
    <xf numFmtId="49" fontId="44" fillId="0" borderId="0" xfId="0" applyNumberFormat="1" applyFont="1" applyProtection="1">
      <protection locked="0"/>
    </xf>
    <xf numFmtId="167" fontId="45" fillId="0" borderId="0" xfId="0" applyNumberFormat="1" applyFont="1" applyProtection="1">
      <protection locked="0"/>
    </xf>
    <xf numFmtId="165" fontId="45" fillId="0" borderId="0" xfId="0" applyNumberFormat="1" applyFont="1"/>
    <xf numFmtId="165" fontId="45" fillId="0" borderId="0" xfId="4" applyFont="1" applyAlignment="1"/>
    <xf numFmtId="165" fontId="48" fillId="0" borderId="13" xfId="4" applyFont="1" applyBorder="1" applyAlignment="1">
      <alignment horizontal="center" vertical="center" wrapText="1"/>
    </xf>
    <xf numFmtId="165" fontId="42" fillId="0" borderId="0" xfId="4" applyFont="1" applyFill="1" applyAlignment="1"/>
    <xf numFmtId="165" fontId="42" fillId="0" borderId="0" xfId="4" applyFont="1" applyFill="1" applyBorder="1" applyAlignment="1"/>
    <xf numFmtId="0" fontId="48" fillId="0" borderId="0" xfId="0" applyFont="1" applyAlignment="1">
      <alignment horizontal="left"/>
    </xf>
    <xf numFmtId="165" fontId="52" fillId="0" borderId="0" xfId="4" applyFont="1" applyAlignment="1"/>
    <xf numFmtId="165" fontId="52" fillId="0" borderId="0" xfId="4" applyFont="1" applyAlignment="1">
      <alignment vertical="top"/>
    </xf>
    <xf numFmtId="0" fontId="42" fillId="0" borderId="0" xfId="0" applyFont="1" applyAlignment="1" applyProtection="1">
      <alignment vertical="top"/>
      <protection locked="0"/>
    </xf>
    <xf numFmtId="165" fontId="42" fillId="0" borderId="0" xfId="4" applyFont="1" applyAlignment="1">
      <alignment horizontal="center" vertical="top"/>
    </xf>
    <xf numFmtId="0" fontId="51" fillId="0" borderId="0" xfId="18" applyFont="1"/>
    <xf numFmtId="0" fontId="51" fillId="0" borderId="0" xfId="18" applyFont="1" applyAlignment="1">
      <alignment horizontal="center"/>
    </xf>
    <xf numFmtId="165" fontId="51" fillId="0" borderId="0" xfId="4" applyFont="1" applyFill="1"/>
    <xf numFmtId="0" fontId="44" fillId="0" borderId="0" xfId="0" applyFont="1"/>
    <xf numFmtId="0" fontId="48" fillId="0" borderId="0" xfId="0" applyFont="1" applyAlignment="1">
      <alignment horizontal="center"/>
    </xf>
    <xf numFmtId="165" fontId="48" fillId="0" borderId="0" xfId="4" applyFont="1" applyFill="1"/>
    <xf numFmtId="165" fontId="42" fillId="0" borderId="0" xfId="4" applyFont="1" applyFill="1"/>
    <xf numFmtId="165" fontId="48" fillId="0" borderId="0" xfId="4" applyFont="1"/>
    <xf numFmtId="165" fontId="51" fillId="0" borderId="0" xfId="6" applyFont="1"/>
    <xf numFmtId="165" fontId="42" fillId="0" borderId="0" xfId="4" applyFont="1" applyFill="1" applyAlignment="1">
      <alignment horizontal="center"/>
    </xf>
    <xf numFmtId="165" fontId="51" fillId="0" borderId="0" xfId="4" applyFont="1"/>
    <xf numFmtId="165" fontId="48" fillId="0" borderId="0" xfId="4" applyFont="1" applyFill="1" applyBorder="1"/>
    <xf numFmtId="165" fontId="42" fillId="0" borderId="0" xfId="4" applyFont="1" applyBorder="1"/>
    <xf numFmtId="0" fontId="48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169" fontId="42" fillId="0" borderId="0" xfId="4" applyNumberFormat="1" applyFont="1" applyBorder="1"/>
    <xf numFmtId="0" fontId="42" fillId="0" borderId="4" xfId="0" applyFont="1" applyBorder="1"/>
    <xf numFmtId="0" fontId="42" fillId="0" borderId="1" xfId="0" applyFont="1" applyBorder="1"/>
    <xf numFmtId="0" fontId="48" fillId="0" borderId="1" xfId="0" applyFont="1" applyBorder="1"/>
    <xf numFmtId="43" fontId="51" fillId="0" borderId="0" xfId="7" applyFont="1"/>
    <xf numFmtId="165" fontId="53" fillId="0" borderId="0" xfId="4" applyFont="1"/>
    <xf numFmtId="165" fontId="42" fillId="0" borderId="0" xfId="6" applyFont="1"/>
    <xf numFmtId="0" fontId="51" fillId="0" borderId="0" xfId="0" applyFont="1"/>
    <xf numFmtId="165" fontId="48" fillId="0" borderId="0" xfId="4" applyFont="1" applyFill="1" applyAlignment="1"/>
    <xf numFmtId="173" fontId="48" fillId="0" borderId="0" xfId="0" applyNumberFormat="1" applyFont="1" applyAlignment="1">
      <alignment horizontal="center"/>
    </xf>
    <xf numFmtId="14" fontId="48" fillId="0" borderId="0" xfId="0" applyNumberFormat="1" applyFont="1" applyAlignment="1">
      <alignment horizontal="center"/>
    </xf>
    <xf numFmtId="165" fontId="48" fillId="0" borderId="0" xfId="4" applyFont="1" applyFill="1" applyAlignment="1">
      <alignment horizontal="center"/>
    </xf>
    <xf numFmtId="0" fontId="48" fillId="4" borderId="5" xfId="0" applyFont="1" applyFill="1" applyBorder="1" applyAlignment="1">
      <alignment horizontal="center"/>
    </xf>
    <xf numFmtId="0" fontId="48" fillId="4" borderId="12" xfId="0" applyFont="1" applyFill="1" applyBorder="1" applyAlignment="1">
      <alignment horizontal="center"/>
    </xf>
    <xf numFmtId="0" fontId="48" fillId="4" borderId="6" xfId="0" applyFont="1" applyFill="1" applyBorder="1" applyAlignment="1">
      <alignment horizontal="center"/>
    </xf>
    <xf numFmtId="0" fontId="42" fillId="0" borderId="10" xfId="0" applyFont="1" applyBorder="1"/>
    <xf numFmtId="165" fontId="42" fillId="0" borderId="8" xfId="4" applyFont="1" applyBorder="1"/>
    <xf numFmtId="0" fontId="42" fillId="0" borderId="11" xfId="0" applyFont="1" applyBorder="1"/>
    <xf numFmtId="0" fontId="42" fillId="0" borderId="13" xfId="0" applyFont="1" applyBorder="1"/>
    <xf numFmtId="165" fontId="42" fillId="0" borderId="9" xfId="4" applyFont="1" applyBorder="1"/>
    <xf numFmtId="165" fontId="42" fillId="0" borderId="13" xfId="4" applyFont="1" applyBorder="1"/>
    <xf numFmtId="165" fontId="55" fillId="0" borderId="9" xfId="4" applyFont="1" applyBorder="1"/>
    <xf numFmtId="0" fontId="48" fillId="0" borderId="11" xfId="0" applyFont="1" applyBorder="1"/>
    <xf numFmtId="0" fontId="48" fillId="0" borderId="13" xfId="0" applyFont="1" applyBorder="1"/>
    <xf numFmtId="165" fontId="56" fillId="0" borderId="9" xfId="4" applyFont="1" applyBorder="1"/>
    <xf numFmtId="0" fontId="42" fillId="0" borderId="14" xfId="0" applyFont="1" applyBorder="1"/>
    <xf numFmtId="0" fontId="42" fillId="0" borderId="15" xfId="0" applyFont="1" applyBorder="1"/>
    <xf numFmtId="0" fontId="42" fillId="0" borderId="16" xfId="0" applyFont="1" applyBorder="1"/>
    <xf numFmtId="165" fontId="49" fillId="0" borderId="0" xfId="4" applyFont="1"/>
    <xf numFmtId="165" fontId="42" fillId="0" borderId="0" xfId="4" applyFont="1" applyFill="1" applyBorder="1"/>
    <xf numFmtId="0" fontId="51" fillId="0" borderId="11" xfId="0" applyFont="1" applyBorder="1"/>
    <xf numFmtId="165" fontId="42" fillId="0" borderId="2" xfId="4" applyFont="1" applyBorder="1"/>
    <xf numFmtId="165" fontId="56" fillId="0" borderId="2" xfId="4" applyFont="1" applyBorder="1"/>
    <xf numFmtId="165" fontId="48" fillId="0" borderId="2" xfId="4" applyFont="1" applyBorder="1"/>
    <xf numFmtId="165" fontId="56" fillId="0" borderId="0" xfId="4" applyFont="1" applyBorder="1"/>
    <xf numFmtId="0" fontId="48" fillId="0" borderId="14" xfId="0" applyFont="1" applyBorder="1"/>
    <xf numFmtId="165" fontId="48" fillId="0" borderId="17" xfId="4" applyFont="1" applyBorder="1"/>
    <xf numFmtId="165" fontId="48" fillId="0" borderId="0" xfId="4" applyFont="1" applyBorder="1"/>
    <xf numFmtId="165" fontId="55" fillId="0" borderId="0" xfId="4" applyFont="1" applyBorder="1"/>
    <xf numFmtId="165" fontId="43" fillId="0" borderId="0" xfId="4" applyFont="1" applyAlignment="1">
      <alignment horizontal="center"/>
    </xf>
    <xf numFmtId="0" fontId="49" fillId="0" borderId="0" xfId="18" applyFont="1"/>
    <xf numFmtId="165" fontId="55" fillId="0" borderId="0" xfId="4" applyFont="1"/>
    <xf numFmtId="173" fontId="48" fillId="0" borderId="0" xfId="0" applyNumberFormat="1" applyFont="1"/>
    <xf numFmtId="165" fontId="51" fillId="0" borderId="10" xfId="6" applyFont="1" applyBorder="1"/>
    <xf numFmtId="165" fontId="51" fillId="0" borderId="8" xfId="6" applyFont="1" applyBorder="1"/>
    <xf numFmtId="165" fontId="51" fillId="0" borderId="11" xfId="6" applyFont="1" applyBorder="1"/>
    <xf numFmtId="165" fontId="51" fillId="0" borderId="9" xfId="6" applyFont="1" applyBorder="1"/>
    <xf numFmtId="165" fontId="57" fillId="0" borderId="9" xfId="6" applyFont="1" applyBorder="1"/>
    <xf numFmtId="165" fontId="53" fillId="0" borderId="11" xfId="6" applyFont="1" applyBorder="1"/>
    <xf numFmtId="165" fontId="58" fillId="0" borderId="9" xfId="6" applyFont="1" applyBorder="1"/>
    <xf numFmtId="165" fontId="51" fillId="0" borderId="14" xfId="6" applyFont="1" applyBorder="1"/>
    <xf numFmtId="165" fontId="51" fillId="0" borderId="16" xfId="6" applyFont="1" applyBorder="1"/>
    <xf numFmtId="0" fontId="48" fillId="4" borderId="19" xfId="0" applyFont="1" applyFill="1" applyBorder="1" applyAlignment="1">
      <alignment horizontal="center"/>
    </xf>
    <xf numFmtId="0" fontId="48" fillId="4" borderId="18" xfId="0" applyFont="1" applyFill="1" applyBorder="1" applyAlignment="1">
      <alignment horizontal="center"/>
    </xf>
    <xf numFmtId="0" fontId="48" fillId="4" borderId="17" xfId="0" applyFont="1" applyFill="1" applyBorder="1" applyAlignment="1">
      <alignment horizontal="center"/>
    </xf>
    <xf numFmtId="0" fontId="48" fillId="4" borderId="16" xfId="0" applyFont="1" applyFill="1" applyBorder="1" applyAlignment="1">
      <alignment horizontal="center"/>
    </xf>
    <xf numFmtId="0" fontId="42" fillId="0" borderId="4" xfId="0" applyFont="1" applyBorder="1" applyAlignment="1">
      <alignment horizontal="left"/>
    </xf>
    <xf numFmtId="165" fontId="42" fillId="0" borderId="4" xfId="4" applyFont="1" applyBorder="1"/>
    <xf numFmtId="0" fontId="42" fillId="0" borderId="2" xfId="0" applyFont="1" applyBorder="1" applyAlignment="1">
      <alignment horizontal="left" wrapText="1"/>
    </xf>
    <xf numFmtId="0" fontId="60" fillId="0" borderId="2" xfId="0" applyFont="1" applyBorder="1"/>
    <xf numFmtId="0" fontId="60" fillId="0" borderId="2" xfId="0" applyFont="1" applyBorder="1" applyAlignment="1">
      <alignment wrapText="1"/>
    </xf>
    <xf numFmtId="4" fontId="43" fillId="0" borderId="0" xfId="0" applyNumberFormat="1" applyFont="1"/>
    <xf numFmtId="0" fontId="42" fillId="0" borderId="2" xfId="0" applyFont="1" applyBorder="1" applyAlignment="1">
      <alignment horizontal="left" vertical="center" wrapText="1"/>
    </xf>
    <xf numFmtId="0" fontId="42" fillId="0" borderId="2" xfId="0" applyFont="1" applyBorder="1"/>
    <xf numFmtId="0" fontId="63" fillId="6" borderId="0" xfId="0" applyFont="1" applyFill="1"/>
    <xf numFmtId="165" fontId="63" fillId="0" borderId="0" xfId="4" applyFont="1"/>
    <xf numFmtId="165" fontId="55" fillId="0" borderId="2" xfId="4" applyFont="1" applyBorder="1"/>
    <xf numFmtId="0" fontId="61" fillId="0" borderId="0" xfId="0" applyFont="1"/>
    <xf numFmtId="0" fontId="53" fillId="4" borderId="5" xfId="0" applyFont="1" applyFill="1" applyBorder="1" applyAlignment="1">
      <alignment horizontal="center"/>
    </xf>
    <xf numFmtId="0" fontId="53" fillId="4" borderId="12" xfId="0" applyFont="1" applyFill="1" applyBorder="1" applyAlignment="1">
      <alignment horizontal="center"/>
    </xf>
    <xf numFmtId="14" fontId="42" fillId="0" borderId="4" xfId="0" applyNumberFormat="1" applyFont="1" applyBorder="1" applyAlignment="1">
      <alignment horizontal="center"/>
    </xf>
    <xf numFmtId="0" fontId="42" fillId="0" borderId="4" xfId="0" applyFont="1" applyBorder="1" applyAlignment="1">
      <alignment horizontal="center"/>
    </xf>
    <xf numFmtId="14" fontId="42" fillId="0" borderId="2" xfId="0" applyNumberFormat="1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165" fontId="61" fillId="0" borderId="0" xfId="0" applyNumberFormat="1" applyFont="1"/>
    <xf numFmtId="0" fontId="48" fillId="0" borderId="2" xfId="0" applyFont="1" applyBorder="1"/>
    <xf numFmtId="165" fontId="58" fillId="0" borderId="2" xfId="4" applyFont="1" applyBorder="1"/>
    <xf numFmtId="4" fontId="61" fillId="0" borderId="0" xfId="0" applyNumberFormat="1" applyFont="1"/>
    <xf numFmtId="0" fontId="50" fillId="0" borderId="0" xfId="0" applyFont="1"/>
    <xf numFmtId="0" fontId="63" fillId="6" borderId="0" xfId="0" applyFont="1" applyFill="1" applyAlignment="1">
      <alignment horizontal="center" vertical="center"/>
    </xf>
    <xf numFmtId="0" fontId="44" fillId="0" borderId="14" xfId="0" applyFont="1" applyBorder="1"/>
    <xf numFmtId="4" fontId="65" fillId="0" borderId="16" xfId="0" applyNumberFormat="1" applyFont="1" applyBorder="1"/>
    <xf numFmtId="0" fontId="53" fillId="0" borderId="0" xfId="0" applyFont="1"/>
    <xf numFmtId="0" fontId="53" fillId="4" borderId="5" xfId="0" applyFont="1" applyFill="1" applyBorder="1" applyAlignment="1">
      <alignment horizontal="center" vertical="center"/>
    </xf>
    <xf numFmtId="0" fontId="53" fillId="4" borderId="12" xfId="0" applyFont="1" applyFill="1" applyBorder="1" applyAlignment="1">
      <alignment horizontal="center" vertical="center"/>
    </xf>
    <xf numFmtId="0" fontId="53" fillId="4" borderId="12" xfId="0" applyFont="1" applyFill="1" applyBorder="1" applyAlignment="1">
      <alignment horizontal="center" vertical="center" wrapText="1"/>
    </xf>
    <xf numFmtId="0" fontId="53" fillId="4" borderId="6" xfId="0" applyFont="1" applyFill="1" applyBorder="1" applyAlignment="1">
      <alignment horizontal="center" vertical="center" wrapText="1"/>
    </xf>
    <xf numFmtId="0" fontId="51" fillId="0" borderId="11" xfId="0" applyFont="1" applyBorder="1" applyAlignment="1">
      <alignment horizontal="center"/>
    </xf>
    <xf numFmtId="0" fontId="51" fillId="0" borderId="2" xfId="0" applyFont="1" applyBorder="1"/>
    <xf numFmtId="0" fontId="51" fillId="0" borderId="2" xfId="0" applyFont="1" applyBorder="1" applyAlignment="1">
      <alignment horizontal="center"/>
    </xf>
    <xf numFmtId="165" fontId="57" fillId="0" borderId="2" xfId="6" applyFont="1" applyBorder="1"/>
    <xf numFmtId="165" fontId="57" fillId="0" borderId="8" xfId="0" applyNumberFormat="1" applyFont="1" applyBorder="1"/>
    <xf numFmtId="0" fontId="53" fillId="0" borderId="2" xfId="0" applyFont="1" applyBorder="1" applyAlignment="1">
      <alignment horizontal="right"/>
    </xf>
    <xf numFmtId="165" fontId="58" fillId="0" borderId="2" xfId="0" applyNumberFormat="1" applyFont="1" applyBorder="1"/>
    <xf numFmtId="0" fontId="58" fillId="0" borderId="2" xfId="0" applyFont="1" applyBorder="1"/>
    <xf numFmtId="165" fontId="58" fillId="0" borderId="9" xfId="0" applyNumberFormat="1" applyFont="1" applyBorder="1"/>
    <xf numFmtId="0" fontId="51" fillId="0" borderId="14" xfId="0" applyFont="1" applyBorder="1"/>
    <xf numFmtId="0" fontId="53" fillId="0" borderId="17" xfId="0" applyFont="1" applyBorder="1" applyAlignment="1">
      <alignment horizontal="center"/>
    </xf>
    <xf numFmtId="0" fontId="51" fillId="0" borderId="17" xfId="0" applyFont="1" applyBorder="1"/>
    <xf numFmtId="0" fontId="53" fillId="0" borderId="17" xfId="0" applyFont="1" applyBorder="1"/>
    <xf numFmtId="165" fontId="58" fillId="0" borderId="17" xfId="0" applyNumberFormat="1" applyFont="1" applyBorder="1"/>
    <xf numFmtId="0" fontId="66" fillId="0" borderId="17" xfId="0" applyFont="1" applyBorder="1"/>
    <xf numFmtId="165" fontId="58" fillId="0" borderId="16" xfId="0" applyNumberFormat="1" applyFont="1" applyBorder="1"/>
    <xf numFmtId="165" fontId="50" fillId="0" borderId="0" xfId="0" applyNumberFormat="1" applyFont="1"/>
    <xf numFmtId="0" fontId="48" fillId="4" borderId="35" xfId="0" applyFont="1" applyFill="1" applyBorder="1" applyAlignment="1">
      <alignment horizontal="center"/>
    </xf>
    <xf numFmtId="0" fontId="48" fillId="4" borderId="33" xfId="0" applyFont="1" applyFill="1" applyBorder="1" applyAlignment="1">
      <alignment horizontal="center"/>
    </xf>
    <xf numFmtId="0" fontId="42" fillId="0" borderId="30" xfId="0" applyFont="1" applyBorder="1"/>
    <xf numFmtId="165" fontId="42" fillId="0" borderId="16" xfId="4" applyFont="1" applyBorder="1"/>
    <xf numFmtId="0" fontId="67" fillId="6" borderId="0" xfId="0" applyFont="1" applyFill="1" applyAlignment="1">
      <alignment horizontal="center" vertical="center"/>
    </xf>
    <xf numFmtId="165" fontId="56" fillId="0" borderId="9" xfId="4" applyFont="1" applyBorder="1" applyAlignment="1">
      <alignment horizontal="right"/>
    </xf>
    <xf numFmtId="165" fontId="42" fillId="0" borderId="16" xfId="4" applyFont="1" applyBorder="1" applyAlignment="1">
      <alignment horizontal="right"/>
    </xf>
    <xf numFmtId="165" fontId="51" fillId="0" borderId="18" xfId="4" applyFont="1" applyBorder="1" applyAlignment="1">
      <alignment horizontal="right"/>
    </xf>
    <xf numFmtId="165" fontId="64" fillId="0" borderId="8" xfId="4" applyFont="1" applyBorder="1" applyAlignment="1">
      <alignment horizontal="right"/>
    </xf>
    <xf numFmtId="165" fontId="53" fillId="0" borderId="10" xfId="6" applyFont="1" applyBorder="1"/>
    <xf numFmtId="165" fontId="57" fillId="0" borderId="8" xfId="6" applyFont="1" applyBorder="1"/>
    <xf numFmtId="165" fontId="51" fillId="0" borderId="10" xfId="6" applyFont="1" applyFill="1" applyBorder="1"/>
    <xf numFmtId="165" fontId="51" fillId="0" borderId="8" xfId="6" applyFont="1" applyFill="1" applyBorder="1"/>
    <xf numFmtId="165" fontId="58" fillId="0" borderId="9" xfId="6" applyFont="1" applyFill="1" applyBorder="1"/>
    <xf numFmtId="165" fontId="51" fillId="0" borderId="0" xfId="6" applyFont="1" applyBorder="1"/>
    <xf numFmtId="165" fontId="42" fillId="0" borderId="7" xfId="0" applyNumberFormat="1" applyFont="1" applyBorder="1"/>
    <xf numFmtId="49" fontId="42" fillId="0" borderId="20" xfId="0" applyNumberFormat="1" applyFont="1" applyBorder="1"/>
    <xf numFmtId="165" fontId="42" fillId="0" borderId="21" xfId="4" applyFont="1" applyBorder="1"/>
    <xf numFmtId="165" fontId="55" fillId="0" borderId="21" xfId="4" applyFont="1" applyBorder="1"/>
    <xf numFmtId="0" fontId="48" fillId="0" borderId="22" xfId="0" applyFont="1" applyBorder="1"/>
    <xf numFmtId="165" fontId="56" fillId="0" borderId="23" xfId="4" applyFont="1" applyBorder="1"/>
    <xf numFmtId="0" fontId="42" fillId="0" borderId="24" xfId="0" applyFont="1" applyBorder="1"/>
    <xf numFmtId="0" fontId="42" fillId="0" borderId="3" xfId="0" applyFont="1" applyBorder="1"/>
    <xf numFmtId="165" fontId="42" fillId="0" borderId="25" xfId="4" applyFont="1" applyBorder="1"/>
    <xf numFmtId="0" fontId="42" fillId="0" borderId="20" xfId="0" applyFont="1" applyBorder="1"/>
    <xf numFmtId="0" fontId="48" fillId="0" borderId="26" xfId="0" applyFont="1" applyBorder="1"/>
    <xf numFmtId="165" fontId="56" fillId="0" borderId="27" xfId="4" applyFont="1" applyBorder="1"/>
    <xf numFmtId="0" fontId="42" fillId="4" borderId="0" xfId="0" applyFont="1" applyFill="1"/>
    <xf numFmtId="165" fontId="42" fillId="4" borderId="0" xfId="4" applyFont="1" applyFill="1"/>
    <xf numFmtId="165" fontId="48" fillId="0" borderId="3" xfId="4" applyFont="1" applyBorder="1"/>
    <xf numFmtId="165" fontId="58" fillId="0" borderId="0" xfId="4" applyFont="1"/>
    <xf numFmtId="0" fontId="48" fillId="5" borderId="5" xfId="0" applyFont="1" applyFill="1" applyBorder="1" applyAlignment="1">
      <alignment horizontal="center"/>
    </xf>
    <xf numFmtId="0" fontId="48" fillId="5" borderId="12" xfId="0" applyFont="1" applyFill="1" applyBorder="1" applyAlignment="1">
      <alignment horizontal="center"/>
    </xf>
    <xf numFmtId="165" fontId="48" fillId="5" borderId="6" xfId="6" applyFont="1" applyFill="1" applyBorder="1" applyAlignment="1">
      <alignment horizontal="center"/>
    </xf>
    <xf numFmtId="49" fontId="42" fillId="5" borderId="10" xfId="0" applyNumberFormat="1" applyFont="1" applyFill="1" applyBorder="1"/>
    <xf numFmtId="0" fontId="42" fillId="5" borderId="4" xfId="0" applyFont="1" applyFill="1" applyBorder="1"/>
    <xf numFmtId="0" fontId="42" fillId="5" borderId="4" xfId="0" applyFont="1" applyFill="1" applyBorder="1" applyAlignment="1">
      <alignment horizontal="center"/>
    </xf>
    <xf numFmtId="165" fontId="55" fillId="5" borderId="8" xfId="6" applyFont="1" applyFill="1" applyBorder="1"/>
    <xf numFmtId="0" fontId="48" fillId="5" borderId="14" xfId="0" applyFont="1" applyFill="1" applyBorder="1"/>
    <xf numFmtId="0" fontId="48" fillId="5" borderId="17" xfId="0" applyFont="1" applyFill="1" applyBorder="1"/>
    <xf numFmtId="165" fontId="56" fillId="5" borderId="16" xfId="6" applyFont="1" applyFill="1" applyBorder="1"/>
    <xf numFmtId="0" fontId="42" fillId="5" borderId="10" xfId="0" applyFont="1" applyFill="1" applyBorder="1"/>
    <xf numFmtId="14" fontId="42" fillId="5" borderId="4" xfId="0" applyNumberFormat="1" applyFont="1" applyFill="1" applyBorder="1" applyAlignment="1">
      <alignment horizontal="center"/>
    </xf>
    <xf numFmtId="165" fontId="42" fillId="5" borderId="8" xfId="6" applyFont="1" applyFill="1" applyBorder="1"/>
    <xf numFmtId="0" fontId="42" fillId="5" borderId="11" xfId="0" applyFont="1" applyFill="1" applyBorder="1"/>
    <xf numFmtId="0" fontId="42" fillId="5" borderId="2" xfId="0" applyFont="1" applyFill="1" applyBorder="1"/>
    <xf numFmtId="14" fontId="42" fillId="5" borderId="2" xfId="0" applyNumberFormat="1" applyFont="1" applyFill="1" applyBorder="1" applyAlignment="1">
      <alignment horizontal="center"/>
    </xf>
    <xf numFmtId="165" fontId="55" fillId="5" borderId="9" xfId="6" applyFont="1" applyFill="1" applyBorder="1"/>
    <xf numFmtId="165" fontId="68" fillId="0" borderId="0" xfId="4" applyFont="1"/>
    <xf numFmtId="165" fontId="58" fillId="0" borderId="0" xfId="4" applyFont="1" applyBorder="1"/>
    <xf numFmtId="165" fontId="51" fillId="8" borderId="0" xfId="4" applyFont="1" applyFill="1"/>
    <xf numFmtId="0" fontId="42" fillId="5" borderId="0" xfId="0" applyFont="1" applyFill="1"/>
    <xf numFmtId="165" fontId="42" fillId="8" borderId="0" xfId="0" applyNumberFormat="1" applyFont="1" applyFill="1"/>
    <xf numFmtId="165" fontId="42" fillId="5" borderId="0" xfId="0" applyNumberFormat="1" applyFont="1" applyFill="1"/>
    <xf numFmtId="165" fontId="42" fillId="8" borderId="7" xfId="0" applyNumberFormat="1" applyFont="1" applyFill="1" applyBorder="1"/>
    <xf numFmtId="165" fontId="42" fillId="5" borderId="0" xfId="4" applyFont="1" applyFill="1"/>
    <xf numFmtId="49" fontId="61" fillId="5" borderId="10" xfId="0" applyNumberFormat="1" applyFont="1" applyFill="1" applyBorder="1"/>
    <xf numFmtId="0" fontId="61" fillId="0" borderId="0" xfId="0" applyFont="1" applyAlignment="1">
      <alignment horizontal="center"/>
    </xf>
    <xf numFmtId="0" fontId="42" fillId="5" borderId="30" xfId="0" applyFont="1" applyFill="1" applyBorder="1"/>
    <xf numFmtId="0" fontId="61" fillId="5" borderId="19" xfId="0" applyFont="1" applyFill="1" applyBorder="1" applyAlignment="1">
      <alignment vertical="center"/>
    </xf>
    <xf numFmtId="0" fontId="42" fillId="5" borderId="19" xfId="0" applyFont="1" applyFill="1" applyBorder="1"/>
    <xf numFmtId="14" fontId="42" fillId="5" borderId="19" xfId="0" applyNumberFormat="1" applyFont="1" applyFill="1" applyBorder="1" applyAlignment="1">
      <alignment horizontal="center"/>
    </xf>
    <xf numFmtId="165" fontId="42" fillId="5" borderId="18" xfId="6" applyFont="1" applyFill="1" applyBorder="1"/>
    <xf numFmtId="0" fontId="42" fillId="5" borderId="14" xfId="0" applyFont="1" applyFill="1" applyBorder="1"/>
    <xf numFmtId="0" fontId="42" fillId="5" borderId="17" xfId="0" applyFont="1" applyFill="1" applyBorder="1"/>
    <xf numFmtId="14" fontId="42" fillId="5" borderId="17" xfId="0" applyNumberFormat="1" applyFont="1" applyFill="1" applyBorder="1" applyAlignment="1">
      <alignment horizontal="center"/>
    </xf>
    <xf numFmtId="165" fontId="55" fillId="5" borderId="16" xfId="6" applyFont="1" applyFill="1" applyBorder="1"/>
    <xf numFmtId="0" fontId="69" fillId="5" borderId="4" xfId="0" applyFont="1" applyFill="1" applyBorder="1" applyAlignment="1">
      <alignment horizontal="center"/>
    </xf>
    <xf numFmtId="0" fontId="61" fillId="5" borderId="4" xfId="0" applyFont="1" applyFill="1" applyBorder="1" applyAlignment="1">
      <alignment horizontal="center" vertical="center"/>
    </xf>
    <xf numFmtId="49" fontId="42" fillId="5" borderId="4" xfId="0" applyNumberFormat="1" applyFont="1" applyFill="1" applyBorder="1" applyAlignment="1">
      <alignment horizontal="center"/>
    </xf>
    <xf numFmtId="165" fontId="48" fillId="0" borderId="7" xfId="0" applyNumberFormat="1" applyFont="1" applyBorder="1"/>
    <xf numFmtId="165" fontId="62" fillId="0" borderId="0" xfId="6" applyFont="1"/>
    <xf numFmtId="165" fontId="42" fillId="0" borderId="17" xfId="6" applyFont="1" applyBorder="1"/>
    <xf numFmtId="165" fontId="42" fillId="0" borderId="17" xfId="6" applyFont="1" applyFill="1" applyBorder="1"/>
    <xf numFmtId="165" fontId="42" fillId="0" borderId="16" xfId="6" applyFont="1" applyBorder="1"/>
    <xf numFmtId="165" fontId="48" fillId="4" borderId="6" xfId="6" applyFont="1" applyFill="1" applyBorder="1" applyAlignment="1">
      <alignment horizontal="center"/>
    </xf>
    <xf numFmtId="14" fontId="48" fillId="0" borderId="0" xfId="0" applyNumberFormat="1" applyFont="1"/>
    <xf numFmtId="165" fontId="42" fillId="0" borderId="9" xfId="4" applyFont="1" applyFill="1" applyBorder="1"/>
    <xf numFmtId="0" fontId="42" fillId="0" borderId="34" xfId="0" applyFont="1" applyBorder="1"/>
    <xf numFmtId="165" fontId="55" fillId="0" borderId="9" xfId="4" applyFont="1" applyFill="1" applyBorder="1"/>
    <xf numFmtId="4" fontId="48" fillId="0" borderId="0" xfId="0" applyNumberFormat="1" applyFont="1" applyAlignment="1">
      <alignment horizontal="center"/>
    </xf>
    <xf numFmtId="165" fontId="42" fillId="0" borderId="8" xfId="6" applyFont="1" applyFill="1" applyBorder="1" applyAlignment="1">
      <alignment horizontal="right"/>
    </xf>
    <xf numFmtId="165" fontId="42" fillId="0" borderId="9" xfId="6" applyFont="1" applyBorder="1" applyAlignment="1">
      <alignment horizontal="right"/>
    </xf>
    <xf numFmtId="165" fontId="55" fillId="0" borderId="9" xfId="6" applyFont="1" applyBorder="1" applyAlignment="1">
      <alignment horizontal="right"/>
    </xf>
    <xf numFmtId="165" fontId="42" fillId="0" borderId="14" xfId="0" applyNumberFormat="1" applyFont="1" applyBorder="1"/>
    <xf numFmtId="4" fontId="42" fillId="0" borderId="0" xfId="18" applyNumberFormat="1" applyFont="1"/>
    <xf numFmtId="164" fontId="42" fillId="0" borderId="0" xfId="0" applyNumberFormat="1" applyFont="1" applyAlignment="1">
      <alignment horizontal="left" vertical="center" indent="4"/>
    </xf>
    <xf numFmtId="165" fontId="42" fillId="0" borderId="16" xfId="0" applyNumberFormat="1" applyFont="1" applyBorder="1"/>
    <xf numFmtId="165" fontId="48" fillId="0" borderId="16" xfId="4" applyFont="1" applyBorder="1"/>
    <xf numFmtId="165" fontId="55" fillId="0" borderId="4" xfId="4" applyFont="1" applyBorder="1"/>
    <xf numFmtId="0" fontId="48" fillId="0" borderId="2" xfId="0" applyFont="1" applyBorder="1" applyAlignment="1">
      <alignment horizontal="right"/>
    </xf>
    <xf numFmtId="0" fontId="53" fillId="0" borderId="2" xfId="0" applyFont="1" applyBorder="1"/>
    <xf numFmtId="0" fontId="63" fillId="0" borderId="0" xfId="0" applyFont="1"/>
    <xf numFmtId="165" fontId="51" fillId="0" borderId="2" xfId="4" applyFont="1" applyBorder="1"/>
    <xf numFmtId="0" fontId="51" fillId="0" borderId="4" xfId="0" applyFont="1" applyBorder="1"/>
    <xf numFmtId="165" fontId="51" fillId="0" borderId="4" xfId="4" applyFont="1" applyBorder="1"/>
    <xf numFmtId="0" fontId="53" fillId="0" borderId="5" xfId="0" applyFont="1" applyBorder="1" applyAlignment="1">
      <alignment horizontal="center"/>
    </xf>
    <xf numFmtId="165" fontId="53" fillId="0" borderId="6" xfId="4" applyFont="1" applyBorder="1" applyAlignment="1">
      <alignment horizontal="center"/>
    </xf>
    <xf numFmtId="165" fontId="57" fillId="0" borderId="2" xfId="4" applyFont="1" applyBorder="1"/>
    <xf numFmtId="165" fontId="51" fillId="0" borderId="0" xfId="4" applyFont="1" applyBorder="1"/>
    <xf numFmtId="165" fontId="48" fillId="0" borderId="0" xfId="4" applyFont="1" applyAlignment="1">
      <alignment horizontal="center"/>
    </xf>
    <xf numFmtId="165" fontId="48" fillId="0" borderId="0" xfId="4" applyFont="1" applyAlignment="1">
      <alignment horizontal="center" vertical="top"/>
    </xf>
    <xf numFmtId="165" fontId="48" fillId="0" borderId="0" xfId="4" applyFont="1" applyAlignment="1">
      <alignment vertical="top"/>
    </xf>
    <xf numFmtId="0" fontId="53" fillId="0" borderId="0" xfId="0" applyFont="1" applyAlignment="1">
      <alignment horizontal="center"/>
    </xf>
    <xf numFmtId="0" fontId="44" fillId="0" borderId="0" xfId="0" applyFont="1" applyAlignment="1">
      <alignment vertical="center"/>
    </xf>
    <xf numFmtId="0" fontId="74" fillId="0" borderId="0" xfId="0" applyFont="1" applyAlignment="1">
      <alignment horizontal="center"/>
    </xf>
    <xf numFmtId="165" fontId="53" fillId="0" borderId="7" xfId="6" applyFont="1" applyFill="1" applyBorder="1"/>
    <xf numFmtId="0" fontId="64" fillId="0" borderId="2" xfId="0" applyFont="1" applyBorder="1" applyAlignment="1">
      <alignment horizontal="center"/>
    </xf>
    <xf numFmtId="0" fontId="51" fillId="0" borderId="2" xfId="0" applyFont="1" applyBorder="1" applyAlignment="1">
      <alignment vertical="center"/>
    </xf>
    <xf numFmtId="165" fontId="51" fillId="0" borderId="2" xfId="6" applyFont="1" applyFill="1" applyBorder="1"/>
    <xf numFmtId="165" fontId="51" fillId="0" borderId="2" xfId="4" applyFont="1" applyFill="1" applyBorder="1"/>
    <xf numFmtId="0" fontId="51" fillId="0" borderId="2" xfId="0" applyFont="1" applyBorder="1" applyAlignment="1">
      <alignment horizontal="left" vertical="center"/>
    </xf>
    <xf numFmtId="165" fontId="53" fillId="0" borderId="2" xfId="6" applyFont="1" applyFill="1" applyBorder="1"/>
    <xf numFmtId="165" fontId="54" fillId="0" borderId="2" xfId="6" applyFont="1" applyFill="1" applyBorder="1" applyAlignment="1"/>
    <xf numFmtId="165" fontId="73" fillId="0" borderId="2" xfId="6" applyFont="1" applyFill="1" applyBorder="1" applyAlignment="1"/>
    <xf numFmtId="165" fontId="58" fillId="0" borderId="2" xfId="4" applyFont="1" applyFill="1" applyBorder="1"/>
    <xf numFmtId="0" fontId="51" fillId="0" borderId="4" xfId="0" applyFont="1" applyBorder="1" applyAlignment="1">
      <alignment vertical="center"/>
    </xf>
    <xf numFmtId="0" fontId="51" fillId="0" borderId="4" xfId="0" applyFont="1" applyBorder="1" applyAlignment="1">
      <alignment wrapText="1"/>
    </xf>
    <xf numFmtId="165" fontId="51" fillId="0" borderId="4" xfId="4" applyFont="1" applyFill="1" applyBorder="1" applyAlignment="1">
      <alignment wrapText="1"/>
    </xf>
    <xf numFmtId="165" fontId="51" fillId="0" borderId="4" xfId="6" applyFont="1" applyFill="1" applyBorder="1"/>
    <xf numFmtId="0" fontId="75" fillId="0" borderId="12" xfId="0" applyFont="1" applyBorder="1" applyAlignment="1">
      <alignment horizontal="center"/>
    </xf>
    <xf numFmtId="165" fontId="75" fillId="0" borderId="6" xfId="6" applyFont="1" applyFill="1" applyBorder="1" applyAlignment="1">
      <alignment horizontal="center"/>
    </xf>
    <xf numFmtId="0" fontId="53" fillId="0" borderId="7" xfId="0" applyFont="1" applyBorder="1"/>
    <xf numFmtId="165" fontId="53" fillId="0" borderId="7" xfId="0" applyNumberFormat="1" applyFont="1" applyBorder="1"/>
    <xf numFmtId="165" fontId="43" fillId="0" borderId="0" xfId="6" applyFont="1" applyFill="1"/>
    <xf numFmtId="165" fontId="51" fillId="5" borderId="9" xfId="4" applyFont="1" applyFill="1" applyBorder="1"/>
    <xf numFmtId="165" fontId="57" fillId="5" borderId="36" xfId="4" applyFont="1" applyFill="1" applyBorder="1"/>
    <xf numFmtId="165" fontId="42" fillId="0" borderId="0" xfId="6" applyFont="1" applyFill="1"/>
    <xf numFmtId="0" fontId="77" fillId="0" borderId="0" xfId="0" applyFont="1" applyAlignment="1">
      <alignment vertical="center"/>
    </xf>
    <xf numFmtId="0" fontId="76" fillId="0" borderId="0" xfId="71" applyAlignment="1">
      <alignment vertical="center"/>
    </xf>
    <xf numFmtId="0" fontId="78" fillId="0" borderId="0" xfId="0" applyFont="1"/>
    <xf numFmtId="165" fontId="42" fillId="0" borderId="0" xfId="35" applyFont="1" applyAlignment="1">
      <alignment horizontal="right"/>
    </xf>
    <xf numFmtId="0" fontId="78" fillId="0" borderId="0" xfId="0" applyFont="1" applyAlignment="1">
      <alignment horizontal="center"/>
    </xf>
    <xf numFmtId="165" fontId="53" fillId="0" borderId="10" xfId="6" applyFont="1" applyFill="1" applyBorder="1"/>
    <xf numFmtId="165" fontId="53" fillId="0" borderId="8" xfId="6" applyFont="1" applyFill="1" applyBorder="1"/>
    <xf numFmtId="165" fontId="79" fillId="0" borderId="8" xfId="6" applyFont="1" applyFill="1" applyBorder="1"/>
    <xf numFmtId="165" fontId="53" fillId="0" borderId="11" xfId="6" applyFont="1" applyFill="1" applyBorder="1"/>
    <xf numFmtId="165" fontId="61" fillId="0" borderId="0" xfId="45" applyFont="1"/>
    <xf numFmtId="0" fontId="42" fillId="0" borderId="10" xfId="18" applyFont="1" applyBorder="1"/>
    <xf numFmtId="0" fontId="42" fillId="0" borderId="11" xfId="18" applyFont="1" applyBorder="1"/>
    <xf numFmtId="0" fontId="42" fillId="0" borderId="11" xfId="18" applyFont="1" applyBorder="1" applyAlignment="1">
      <alignment horizontal="left" wrapText="1"/>
    </xf>
    <xf numFmtId="0" fontId="48" fillId="0" borderId="11" xfId="18" applyFont="1" applyBorder="1"/>
    <xf numFmtId="165" fontId="56" fillId="0" borderId="9" xfId="4" applyFont="1" applyFill="1" applyBorder="1"/>
    <xf numFmtId="4" fontId="42" fillId="0" borderId="8" xfId="18" applyNumberFormat="1" applyFont="1" applyBorder="1"/>
    <xf numFmtId="4" fontId="42" fillId="0" borderId="9" xfId="18" applyNumberFormat="1" applyFont="1" applyBorder="1"/>
    <xf numFmtId="165" fontId="53" fillId="0" borderId="34" xfId="35" applyFont="1" applyBorder="1" applyAlignment="1">
      <alignment horizontal="right"/>
    </xf>
    <xf numFmtId="165" fontId="42" fillId="0" borderId="18" xfId="6" applyFont="1" applyBorder="1" applyAlignment="1">
      <alignment horizontal="right"/>
    </xf>
    <xf numFmtId="165" fontId="48" fillId="0" borderId="9" xfId="0" applyNumberFormat="1" applyFont="1" applyBorder="1"/>
    <xf numFmtId="165" fontId="48" fillId="0" borderId="16" xfId="0" applyNumberFormat="1" applyFont="1" applyBorder="1"/>
    <xf numFmtId="0" fontId="42" fillId="0" borderId="10" xfId="0" applyFont="1" applyBorder="1" applyAlignment="1">
      <alignment horizontal="left" wrapText="1"/>
    </xf>
    <xf numFmtId="0" fontId="31" fillId="0" borderId="0" xfId="0" applyFont="1"/>
    <xf numFmtId="165" fontId="42" fillId="0" borderId="1" xfId="0" applyNumberFormat="1" applyFont="1" applyBorder="1" applyAlignment="1">
      <alignment horizontal="right"/>
    </xf>
    <xf numFmtId="165" fontId="48" fillId="8" borderId="7" xfId="0" applyNumberFormat="1" applyFont="1" applyFill="1" applyBorder="1"/>
    <xf numFmtId="4" fontId="18" fillId="0" borderId="0" xfId="73" applyNumberFormat="1"/>
    <xf numFmtId="0" fontId="16" fillId="0" borderId="0" xfId="76"/>
    <xf numFmtId="4" fontId="16" fillId="0" borderId="0" xfId="76" applyNumberFormat="1"/>
    <xf numFmtId="17" fontId="48" fillId="0" borderId="0" xfId="73" applyNumberFormat="1" applyFont="1"/>
    <xf numFmtId="165" fontId="42" fillId="0" borderId="0" xfId="73" applyNumberFormat="1" applyFont="1"/>
    <xf numFmtId="0" fontId="42" fillId="0" borderId="0" xfId="73" applyFont="1"/>
    <xf numFmtId="165" fontId="72" fillId="0" borderId="0" xfId="75" applyFont="1"/>
    <xf numFmtId="0" fontId="71" fillId="4" borderId="5" xfId="73" applyFont="1" applyFill="1" applyBorder="1" applyAlignment="1">
      <alignment horizontal="center" vertical="center" wrapText="1"/>
    </xf>
    <xf numFmtId="0" fontId="54" fillId="4" borderId="12" xfId="73" applyFont="1" applyFill="1" applyBorder="1" applyAlignment="1">
      <alignment horizontal="center" vertical="center" wrapText="1"/>
    </xf>
    <xf numFmtId="0" fontId="54" fillId="4" borderId="6" xfId="73" applyFont="1" applyFill="1" applyBorder="1" applyAlignment="1">
      <alignment horizontal="center" vertical="center" wrapText="1"/>
    </xf>
    <xf numFmtId="0" fontId="42" fillId="0" borderId="10" xfId="73" applyFont="1" applyBorder="1"/>
    <xf numFmtId="0" fontId="42" fillId="0" borderId="11" xfId="73" applyFont="1" applyBorder="1"/>
    <xf numFmtId="0" fontId="48" fillId="0" borderId="11" xfId="73" applyFont="1" applyBorder="1"/>
    <xf numFmtId="0" fontId="71" fillId="0" borderId="11" xfId="73" applyFont="1" applyBorder="1" applyAlignment="1">
      <alignment horizontal="center" wrapText="1"/>
    </xf>
    <xf numFmtId="0" fontId="48" fillId="0" borderId="11" xfId="73" applyFont="1" applyBorder="1" applyAlignment="1">
      <alignment vertical="center" wrapText="1"/>
    </xf>
    <xf numFmtId="0" fontId="42" fillId="0" borderId="14" xfId="73" applyFont="1" applyBorder="1"/>
    <xf numFmtId="165" fontId="81" fillId="0" borderId="4" xfId="6" applyFont="1" applyBorder="1"/>
    <xf numFmtId="165" fontId="81" fillId="0" borderId="4" xfId="6" applyFont="1" applyFill="1" applyBorder="1"/>
    <xf numFmtId="165" fontId="81" fillId="0" borderId="8" xfId="6" applyFont="1" applyBorder="1"/>
    <xf numFmtId="165" fontId="81" fillId="0" borderId="2" xfId="6" applyFont="1" applyFill="1" applyBorder="1"/>
    <xf numFmtId="165" fontId="81" fillId="0" borderId="2" xfId="6" applyFont="1" applyBorder="1"/>
    <xf numFmtId="165" fontId="82" fillId="0" borderId="2" xfId="6" applyFont="1" applyFill="1" applyBorder="1"/>
    <xf numFmtId="165" fontId="82" fillId="0" borderId="4" xfId="6" applyFont="1" applyFill="1" applyBorder="1"/>
    <xf numFmtId="165" fontId="82" fillId="0" borderId="2" xfId="6" applyFont="1" applyBorder="1"/>
    <xf numFmtId="165" fontId="82" fillId="0" borderId="8" xfId="6" applyFont="1" applyBorder="1"/>
    <xf numFmtId="165" fontId="83" fillId="0" borderId="2" xfId="6" applyFont="1" applyBorder="1"/>
    <xf numFmtId="165" fontId="83" fillId="0" borderId="2" xfId="6" applyFont="1" applyFill="1" applyBorder="1"/>
    <xf numFmtId="165" fontId="83" fillId="0" borderId="9" xfId="6" applyFont="1" applyBorder="1"/>
    <xf numFmtId="165" fontId="81" fillId="0" borderId="9" xfId="6" applyFont="1" applyBorder="1"/>
    <xf numFmtId="165" fontId="84" fillId="0" borderId="2" xfId="6" applyFont="1" applyBorder="1" applyAlignment="1">
      <alignment wrapText="1"/>
    </xf>
    <xf numFmtId="165" fontId="84" fillId="0" borderId="2" xfId="6" applyFont="1" applyFill="1" applyBorder="1" applyAlignment="1">
      <alignment wrapText="1"/>
    </xf>
    <xf numFmtId="165" fontId="84" fillId="0" borderId="9" xfId="6" applyFont="1" applyBorder="1" applyAlignment="1">
      <alignment wrapText="1"/>
    </xf>
    <xf numFmtId="165" fontId="84" fillId="0" borderId="2" xfId="6" applyFont="1" applyBorder="1"/>
    <xf numFmtId="165" fontId="85" fillId="0" borderId="2" xfId="6" applyFont="1" applyBorder="1"/>
    <xf numFmtId="165" fontId="85" fillId="0" borderId="9" xfId="6" applyFont="1" applyBorder="1"/>
    <xf numFmtId="0" fontId="42" fillId="0" borderId="30" xfId="18" applyFont="1" applyBorder="1"/>
    <xf numFmtId="165" fontId="48" fillId="0" borderId="13" xfId="4" applyFont="1" applyFill="1" applyBorder="1" applyAlignment="1">
      <alignment horizontal="center" vertical="center" wrapText="1"/>
    </xf>
    <xf numFmtId="0" fontId="42" fillId="0" borderId="0" xfId="0" quotePrefix="1" applyFont="1" applyAlignment="1">
      <alignment horizontal="left"/>
    </xf>
    <xf numFmtId="165" fontId="80" fillId="0" borderId="0" xfId="4" applyFont="1" applyFill="1" applyAlignment="1">
      <alignment horizontal="center"/>
    </xf>
    <xf numFmtId="165" fontId="70" fillId="0" borderId="0" xfId="4" applyFont="1" applyFill="1" applyAlignment="1">
      <alignment horizontal="center"/>
    </xf>
    <xf numFmtId="10" fontId="48" fillId="0" borderId="0" xfId="43" applyNumberFormat="1" applyFont="1" applyFill="1" applyAlignment="1">
      <alignment horizontal="center"/>
    </xf>
    <xf numFmtId="165" fontId="42" fillId="0" borderId="1" xfId="4" applyFont="1" applyFill="1" applyBorder="1"/>
    <xf numFmtId="0" fontId="48" fillId="0" borderId="0" xfId="0" applyFont="1" applyAlignment="1">
      <alignment horizontal="left" indent="3"/>
    </xf>
    <xf numFmtId="165" fontId="42" fillId="0" borderId="0" xfId="0" applyNumberFormat="1" applyFont="1" applyAlignment="1">
      <alignment horizontal="center"/>
    </xf>
    <xf numFmtId="165" fontId="51" fillId="0" borderId="0" xfId="6" applyFont="1" applyFill="1"/>
    <xf numFmtId="165" fontId="48" fillId="0" borderId="0" xfId="0" applyNumberFormat="1" applyFont="1"/>
    <xf numFmtId="0" fontId="48" fillId="0" borderId="0" xfId="0" applyFont="1" applyAlignment="1">
      <alignment horizontal="left" wrapText="1"/>
    </xf>
    <xf numFmtId="165" fontId="48" fillId="0" borderId="37" xfId="4" applyFont="1" applyBorder="1" applyAlignment="1">
      <alignment horizontal="center"/>
    </xf>
    <xf numFmtId="165" fontId="42" fillId="0" borderId="37" xfId="4" applyFont="1" applyBorder="1"/>
    <xf numFmtId="0" fontId="42" fillId="0" borderId="38" xfId="0" applyFont="1" applyBorder="1"/>
    <xf numFmtId="165" fontId="56" fillId="0" borderId="16" xfId="0" applyNumberFormat="1" applyFont="1" applyBorder="1"/>
    <xf numFmtId="165" fontId="48" fillId="0" borderId="0" xfId="4" applyFont="1" applyBorder="1" applyAlignment="1">
      <alignment horizontal="center"/>
    </xf>
    <xf numFmtId="0" fontId="44" fillId="7" borderId="40" xfId="0" applyFont="1" applyFill="1" applyBorder="1" applyAlignment="1">
      <alignment horizontal="center"/>
    </xf>
    <xf numFmtId="0" fontId="48" fillId="0" borderId="34" xfId="0" applyFont="1" applyBorder="1" applyAlignment="1">
      <alignment horizontal="center"/>
    </xf>
    <xf numFmtId="171" fontId="42" fillId="0" borderId="34" xfId="0" applyNumberFormat="1" applyFont="1" applyBorder="1"/>
    <xf numFmtId="0" fontId="42" fillId="0" borderId="41" xfId="0" applyFont="1" applyBorder="1"/>
    <xf numFmtId="165" fontId="48" fillId="0" borderId="34" xfId="4" applyFont="1" applyBorder="1" applyAlignment="1">
      <alignment horizontal="center"/>
    </xf>
    <xf numFmtId="165" fontId="42" fillId="0" borderId="37" xfId="4" applyFont="1" applyFill="1" applyBorder="1"/>
    <xf numFmtId="169" fontId="42" fillId="0" borderId="34" xfId="4" applyNumberFormat="1" applyFont="1" applyBorder="1"/>
    <xf numFmtId="0" fontId="45" fillId="0" borderId="0" xfId="0" applyFont="1" applyAlignment="1">
      <alignment horizontal="center"/>
    </xf>
    <xf numFmtId="165" fontId="44" fillId="0" borderId="13" xfId="4" applyFont="1" applyFill="1" applyBorder="1" applyAlignment="1">
      <alignment horizontal="center" vertical="center" wrapText="1"/>
    </xf>
    <xf numFmtId="0" fontId="53" fillId="0" borderId="0" xfId="18" applyFont="1" applyAlignment="1">
      <alignment horizontal="center"/>
    </xf>
    <xf numFmtId="0" fontId="42" fillId="0" borderId="0" xfId="0" applyFont="1" applyAlignment="1">
      <alignment horizontal="left" wrapText="1"/>
    </xf>
    <xf numFmtId="165" fontId="53" fillId="0" borderId="0" xfId="4" applyFont="1" applyFill="1"/>
    <xf numFmtId="0" fontId="48" fillId="0" borderId="0" xfId="18" applyFont="1" applyAlignment="1">
      <alignment horizontal="center"/>
    </xf>
    <xf numFmtId="165" fontId="42" fillId="0" borderId="0" xfId="66" applyFont="1" applyFill="1"/>
    <xf numFmtId="165" fontId="53" fillId="0" borderId="0" xfId="18" applyNumberFormat="1" applyFont="1" applyAlignment="1">
      <alignment horizontal="center"/>
    </xf>
    <xf numFmtId="165" fontId="43" fillId="0" borderId="0" xfId="4" applyFont="1" applyFill="1"/>
    <xf numFmtId="0" fontId="54" fillId="0" borderId="0" xfId="0" applyFont="1" applyAlignment="1">
      <alignment horizontal="center"/>
    </xf>
    <xf numFmtId="4" fontId="15" fillId="0" borderId="0" xfId="77" applyNumberFormat="1"/>
    <xf numFmtId="4" fontId="86" fillId="0" borderId="0" xfId="0" applyNumberFormat="1" applyFont="1"/>
    <xf numFmtId="165" fontId="43" fillId="0" borderId="0" xfId="6" applyFont="1" applyBorder="1"/>
    <xf numFmtId="4" fontId="14" fillId="0" borderId="0" xfId="78" applyNumberFormat="1"/>
    <xf numFmtId="0" fontId="42" fillId="0" borderId="0" xfId="0" applyFont="1" applyAlignment="1" applyProtection="1">
      <alignment horizontal="center"/>
      <protection locked="0"/>
    </xf>
    <xf numFmtId="0" fontId="87" fillId="9" borderId="29" xfId="0" applyFont="1" applyFill="1" applyBorder="1" applyAlignment="1">
      <alignment horizontal="center"/>
    </xf>
    <xf numFmtId="0" fontId="39" fillId="9" borderId="42" xfId="0" applyFont="1" applyFill="1" applyBorder="1" applyAlignment="1">
      <alignment horizontal="center"/>
    </xf>
    <xf numFmtId="14" fontId="39" fillId="9" borderId="42" xfId="0" applyNumberFormat="1" applyFont="1" applyFill="1" applyBorder="1" applyAlignment="1">
      <alignment horizontal="center"/>
    </xf>
    <xf numFmtId="4" fontId="39" fillId="9" borderId="42" xfId="0" applyNumberFormat="1" applyFont="1" applyFill="1" applyBorder="1"/>
    <xf numFmtId="4" fontId="88" fillId="9" borderId="42" xfId="0" applyNumberFormat="1" applyFont="1" applyFill="1" applyBorder="1"/>
    <xf numFmtId="4" fontId="89" fillId="9" borderId="42" xfId="0" applyNumberFormat="1" applyFont="1" applyFill="1" applyBorder="1"/>
    <xf numFmtId="0" fontId="39" fillId="9" borderId="42" xfId="0" applyFont="1" applyFill="1" applyBorder="1"/>
    <xf numFmtId="4" fontId="90" fillId="0" borderId="0" xfId="0" applyNumberFormat="1" applyFont="1"/>
    <xf numFmtId="165" fontId="84" fillId="0" borderId="2" xfId="6" applyFont="1" applyFill="1" applyBorder="1"/>
    <xf numFmtId="165" fontId="85" fillId="0" borderId="2" xfId="6" applyFont="1" applyFill="1" applyBorder="1"/>
    <xf numFmtId="4" fontId="78" fillId="0" borderId="0" xfId="18" applyNumberFormat="1" applyFont="1"/>
    <xf numFmtId="165" fontId="56" fillId="0" borderId="0" xfId="4" applyFont="1" applyFill="1" applyBorder="1"/>
    <xf numFmtId="165" fontId="61" fillId="0" borderId="0" xfId="45" applyFont="1" applyFill="1" applyBorder="1"/>
    <xf numFmtId="165" fontId="42" fillId="0" borderId="8" xfId="4" applyFont="1" applyFill="1" applyBorder="1"/>
    <xf numFmtId="0" fontId="48" fillId="0" borderId="11" xfId="18" applyFont="1" applyBorder="1" applyAlignment="1">
      <alignment wrapText="1"/>
    </xf>
    <xf numFmtId="175" fontId="42" fillId="0" borderId="0" xfId="4" applyNumberFormat="1" applyFont="1"/>
    <xf numFmtId="165" fontId="80" fillId="0" borderId="0" xfId="4" applyFont="1" applyAlignment="1"/>
    <xf numFmtId="165" fontId="48" fillId="10" borderId="7" xfId="0" applyNumberFormat="1" applyFont="1" applyFill="1" applyBorder="1"/>
    <xf numFmtId="165" fontId="48" fillId="10" borderId="7" xfId="4" applyFont="1" applyFill="1" applyBorder="1"/>
    <xf numFmtId="4" fontId="0" fillId="0" borderId="0" xfId="0" applyNumberFormat="1"/>
    <xf numFmtId="4" fontId="87" fillId="9" borderId="42" xfId="0" applyNumberFormat="1" applyFont="1" applyFill="1" applyBorder="1"/>
    <xf numFmtId="165" fontId="13" fillId="0" borderId="0" xfId="4" applyFont="1" applyAlignment="1">
      <alignment horizontal="right"/>
    </xf>
    <xf numFmtId="165" fontId="12" fillId="0" borderId="0" xfId="4" applyFont="1" applyAlignment="1">
      <alignment horizontal="right"/>
    </xf>
    <xf numFmtId="165" fontId="12" fillId="0" borderId="0" xfId="82" applyFont="1" applyAlignment="1">
      <alignment horizontal="right"/>
    </xf>
    <xf numFmtId="0" fontId="48" fillId="0" borderId="11" xfId="73" applyFont="1" applyBorder="1" applyAlignment="1">
      <alignment wrapText="1"/>
    </xf>
    <xf numFmtId="165" fontId="91" fillId="0" borderId="0" xfId="84" applyFont="1" applyAlignment="1">
      <alignment horizontal="right"/>
    </xf>
    <xf numFmtId="165" fontId="42" fillId="0" borderId="1" xfId="4" applyFont="1" applyFill="1" applyBorder="1" applyAlignment="1"/>
    <xf numFmtId="165" fontId="12" fillId="0" borderId="0" xfId="82" applyFont="1" applyFill="1" applyAlignment="1">
      <alignment horizontal="right"/>
    </xf>
    <xf numFmtId="165" fontId="48" fillId="0" borderId="7" xfId="4" applyFont="1" applyFill="1" applyBorder="1" applyAlignment="1"/>
    <xf numFmtId="165" fontId="42" fillId="0" borderId="0" xfId="35" applyFont="1" applyFill="1" applyAlignment="1">
      <alignment horizontal="right"/>
    </xf>
    <xf numFmtId="165" fontId="48" fillId="0" borderId="3" xfId="4" applyFont="1" applyFill="1" applyBorder="1" applyAlignment="1"/>
    <xf numFmtId="165" fontId="51" fillId="0" borderId="0" xfId="6" applyFont="1" applyFill="1" applyAlignment="1">
      <alignment horizontal="right"/>
    </xf>
    <xf numFmtId="165" fontId="0" fillId="0" borderId="0" xfId="0" applyNumberFormat="1"/>
    <xf numFmtId="4" fontId="10" fillId="0" borderId="0" xfId="85" applyNumberFormat="1"/>
    <xf numFmtId="4" fontId="9" fillId="0" borderId="0" xfId="86" applyNumberFormat="1"/>
    <xf numFmtId="0" fontId="8" fillId="0" borderId="0" xfId="87"/>
    <xf numFmtId="4" fontId="8" fillId="0" borderId="0" xfId="87" applyNumberFormat="1"/>
    <xf numFmtId="4" fontId="42" fillId="0" borderId="18" xfId="18" applyNumberFormat="1" applyFont="1" applyBorder="1"/>
    <xf numFmtId="4" fontId="48" fillId="0" borderId="0" xfId="0" applyNumberFormat="1" applyFont="1"/>
    <xf numFmtId="165" fontId="63" fillId="0" borderId="7" xfId="0" applyNumberFormat="1" applyFont="1" applyBorder="1"/>
    <xf numFmtId="165" fontId="7" fillId="0" borderId="0" xfId="89" applyFont="1"/>
    <xf numFmtId="0" fontId="48" fillId="4" borderId="35" xfId="0" applyFont="1" applyFill="1" applyBorder="1" applyAlignment="1">
      <alignment horizontal="center" vertical="center" wrapText="1"/>
    </xf>
    <xf numFmtId="0" fontId="45" fillId="0" borderId="11" xfId="0" applyFont="1" applyBorder="1"/>
    <xf numFmtId="4" fontId="64" fillId="0" borderId="9" xfId="18" applyNumberFormat="1" applyFont="1" applyBorder="1"/>
    <xf numFmtId="0" fontId="6" fillId="0" borderId="0" xfId="90"/>
    <xf numFmtId="0" fontId="6" fillId="0" borderId="0" xfId="90" quotePrefix="1"/>
    <xf numFmtId="14" fontId="6" fillId="0" borderId="0" xfId="90" applyNumberFormat="1"/>
    <xf numFmtId="4" fontId="6" fillId="0" borderId="0" xfId="90" applyNumberFormat="1"/>
    <xf numFmtId="4" fontId="6" fillId="0" borderId="7" xfId="90" applyNumberFormat="1" applyBorder="1"/>
    <xf numFmtId="0" fontId="92" fillId="0" borderId="0" xfId="90" applyFont="1"/>
    <xf numFmtId="0" fontId="6" fillId="10" borderId="0" xfId="90" applyFill="1"/>
    <xf numFmtId="165" fontId="5" fillId="0" borderId="0" xfId="92" applyFont="1" applyAlignment="1">
      <alignment horizontal="right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vertical="center"/>
    </xf>
    <xf numFmtId="0" fontId="53" fillId="0" borderId="5" xfId="0" applyFont="1" applyBorder="1" applyAlignment="1">
      <alignment horizontal="center" vertical="center"/>
    </xf>
    <xf numFmtId="0" fontId="53" fillId="0" borderId="12" xfId="0" applyFont="1" applyBorder="1" applyAlignment="1">
      <alignment horizontal="center" vertical="center"/>
    </xf>
    <xf numFmtId="0" fontId="53" fillId="0" borderId="12" xfId="0" applyFont="1" applyBorder="1" applyAlignment="1">
      <alignment horizontal="center" vertical="center" wrapText="1"/>
    </xf>
    <xf numFmtId="0" fontId="53" fillId="0" borderId="6" xfId="0" applyFont="1" applyBorder="1" applyAlignment="1">
      <alignment horizontal="center" vertical="center" wrapText="1"/>
    </xf>
    <xf numFmtId="0" fontId="51" fillId="0" borderId="0" xfId="0" applyFont="1" applyAlignment="1">
      <alignment horizontal="center"/>
    </xf>
    <xf numFmtId="165" fontId="51" fillId="0" borderId="13" xfId="4" applyFont="1" applyBorder="1"/>
    <xf numFmtId="165" fontId="53" fillId="8" borderId="7" xfId="4" applyFont="1" applyFill="1" applyBorder="1"/>
    <xf numFmtId="165" fontId="55" fillId="0" borderId="8" xfId="4" applyFont="1" applyBorder="1"/>
    <xf numFmtId="0" fontId="93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left"/>
    </xf>
    <xf numFmtId="0" fontId="39" fillId="0" borderId="2" xfId="0" applyFont="1" applyBorder="1" applyAlignment="1">
      <alignment horizontal="center" vertical="center"/>
    </xf>
    <xf numFmtId="0" fontId="39" fillId="0" borderId="2" xfId="0" applyFont="1" applyBorder="1"/>
    <xf numFmtId="165" fontId="39" fillId="0" borderId="2" xfId="4" applyFont="1" applyFill="1" applyBorder="1"/>
    <xf numFmtId="165" fontId="39" fillId="0" borderId="2" xfId="0" applyNumberFormat="1" applyFont="1" applyBorder="1"/>
    <xf numFmtId="0" fontId="39" fillId="0" borderId="2" xfId="0" applyFont="1" applyBorder="1" applyAlignment="1">
      <alignment horizontal="right"/>
    </xf>
    <xf numFmtId="0" fontId="39" fillId="0" borderId="2" xfId="0" applyFont="1" applyBorder="1" applyAlignment="1">
      <alignment vertical="center"/>
    </xf>
    <xf numFmtId="0" fontId="39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1" fontId="39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3" fillId="0" borderId="0" xfId="95" applyNumberFormat="1"/>
    <xf numFmtId="4" fontId="78" fillId="0" borderId="8" xfId="18" applyNumberFormat="1" applyFont="1" applyBorder="1"/>
    <xf numFmtId="165" fontId="2" fillId="0" borderId="0" xfId="97" applyFont="1"/>
    <xf numFmtId="165" fontId="6" fillId="0" borderId="0" xfId="4" applyFont="1"/>
    <xf numFmtId="0" fontId="1" fillId="0" borderId="0" xfId="98"/>
    <xf numFmtId="14" fontId="1" fillId="0" borderId="0" xfId="98" applyNumberFormat="1"/>
    <xf numFmtId="0" fontId="1" fillId="0" borderId="0" xfId="90" applyFont="1" applyAlignment="1">
      <alignment horizontal="right"/>
    </xf>
    <xf numFmtId="4" fontId="93" fillId="9" borderId="42" xfId="0" applyNumberFormat="1" applyFont="1" applyFill="1" applyBorder="1"/>
    <xf numFmtId="0" fontId="38" fillId="0" borderId="0" xfId="90" applyFont="1"/>
    <xf numFmtId="165" fontId="1" fillId="0" borderId="0" xfId="99" applyFont="1"/>
    <xf numFmtId="165" fontId="42" fillId="0" borderId="0" xfId="4" applyFont="1" applyAlignment="1">
      <alignment horizontal="center"/>
    </xf>
    <xf numFmtId="0" fontId="44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49" fontId="44" fillId="0" borderId="0" xfId="0" applyNumberFormat="1" applyFont="1" applyAlignment="1" applyProtection="1">
      <alignment horizontal="center"/>
      <protection locked="0"/>
    </xf>
    <xf numFmtId="167" fontId="45" fillId="0" borderId="0" xfId="0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165" fontId="48" fillId="0" borderId="0" xfId="4" applyFont="1" applyAlignment="1">
      <alignment horizontal="center"/>
    </xf>
    <xf numFmtId="0" fontId="48" fillId="0" borderId="0" xfId="0" applyFont="1" applyAlignment="1">
      <alignment horizontal="center" vertical="top"/>
    </xf>
    <xf numFmtId="0" fontId="42" fillId="0" borderId="0" xfId="0" applyFont="1" applyAlignment="1">
      <alignment horizontal="center" vertical="top"/>
    </xf>
    <xf numFmtId="165" fontId="48" fillId="0" borderId="0" xfId="4" applyFont="1" applyAlignment="1">
      <alignment horizontal="center" vertical="top"/>
    </xf>
    <xf numFmtId="165" fontId="42" fillId="0" borderId="0" xfId="4" applyFont="1" applyAlignment="1">
      <alignment horizontal="center" vertical="top"/>
    </xf>
    <xf numFmtId="49" fontId="44" fillId="7" borderId="40" xfId="0" applyNumberFormat="1" applyFont="1" applyFill="1" applyBorder="1" applyAlignment="1">
      <alignment horizontal="center"/>
    </xf>
    <xf numFmtId="49" fontId="44" fillId="7" borderId="39" xfId="0" applyNumberFormat="1" applyFont="1" applyFill="1" applyBorder="1" applyAlignment="1">
      <alignment horizontal="center"/>
    </xf>
    <xf numFmtId="0" fontId="43" fillId="0" borderId="29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173" fontId="48" fillId="0" borderId="0" xfId="0" applyNumberFormat="1" applyFont="1" applyAlignment="1">
      <alignment horizontal="center"/>
    </xf>
    <xf numFmtId="0" fontId="60" fillId="0" borderId="28" xfId="0" applyFont="1" applyBorder="1" applyAlignment="1">
      <alignment horizontal="center" wrapText="1"/>
    </xf>
    <xf numFmtId="0" fontId="60" fillId="0" borderId="4" xfId="0" applyFont="1" applyBorder="1" applyAlignment="1">
      <alignment horizontal="center" wrapText="1"/>
    </xf>
    <xf numFmtId="0" fontId="48" fillId="4" borderId="30" xfId="0" applyFont="1" applyFill="1" applyBorder="1" applyAlignment="1">
      <alignment horizontal="center" vertical="center" wrapText="1"/>
    </xf>
    <xf numFmtId="0" fontId="48" fillId="4" borderId="19" xfId="0" applyFont="1" applyFill="1" applyBorder="1" applyAlignment="1">
      <alignment horizontal="center" vertical="center" wrapText="1"/>
    </xf>
    <xf numFmtId="0" fontId="48" fillId="4" borderId="14" xfId="0" applyFont="1" applyFill="1" applyBorder="1" applyAlignment="1">
      <alignment horizontal="center" vertical="center" wrapText="1"/>
    </xf>
    <xf numFmtId="0" fontId="48" fillId="4" borderId="17" xfId="0" applyFont="1" applyFill="1" applyBorder="1" applyAlignment="1">
      <alignment horizontal="center" vertical="center" wrapText="1"/>
    </xf>
    <xf numFmtId="0" fontId="48" fillId="4" borderId="43" xfId="0" applyFont="1" applyFill="1" applyBorder="1" applyAlignment="1">
      <alignment horizontal="center" vertical="center" wrapText="1"/>
    </xf>
    <xf numFmtId="0" fontId="48" fillId="4" borderId="44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174" fontId="53" fillId="0" borderId="0" xfId="0" applyNumberFormat="1" applyFont="1" applyAlignment="1">
      <alignment horizontal="center"/>
    </xf>
    <xf numFmtId="0" fontId="48" fillId="0" borderId="0" xfId="0" applyFont="1" applyAlignment="1">
      <alignment horizontal="center" wrapText="1"/>
    </xf>
    <xf numFmtId="174" fontId="48" fillId="0" borderId="0" xfId="0" applyNumberFormat="1" applyFont="1" applyAlignment="1">
      <alignment horizontal="center"/>
    </xf>
    <xf numFmtId="0" fontId="72" fillId="0" borderId="0" xfId="0" applyFont="1" applyAlignment="1">
      <alignment horizontal="center"/>
    </xf>
    <xf numFmtId="0" fontId="48" fillId="0" borderId="0" xfId="73" applyFont="1" applyAlignment="1">
      <alignment horizontal="center"/>
    </xf>
    <xf numFmtId="174" fontId="48" fillId="0" borderId="0" xfId="73" applyNumberFormat="1" applyFont="1" applyAlignment="1">
      <alignment horizontal="center"/>
    </xf>
  </cellXfs>
  <cellStyles count="100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Hipervínculo" xfId="71" builtinId="8"/>
    <cellStyle name="Millares" xfId="4" builtinId="3"/>
    <cellStyle name="Millares 10" xfId="37" xr:uid="{D55D6799-BD76-4726-ACE6-B1A828065071}"/>
    <cellStyle name="Millares 10 2" xfId="58" xr:uid="{4B8F86F0-49DB-499A-A127-7D9750FD6D38}"/>
    <cellStyle name="Millares 11" xfId="39" xr:uid="{5B5B509D-9AB8-4DF4-9881-A5AD4E3C9292}"/>
    <cellStyle name="Millares 11 2" xfId="60" xr:uid="{E47AF4B6-51AF-4C58-90E1-485FA4EAD385}"/>
    <cellStyle name="Millares 12" xfId="41" xr:uid="{BAEB21BB-AEC4-4D3C-AD60-57CAEB64DB96}"/>
    <cellStyle name="Millares 12 2" xfId="62" xr:uid="{92523BE6-C024-4D2E-9E25-F311D1958EA0}"/>
    <cellStyle name="Millares 13" xfId="45" xr:uid="{A2BC0D4F-BE36-48E5-B8FE-275FEC761914}"/>
    <cellStyle name="Millares 14" xfId="47" xr:uid="{C434BAC0-B2B3-4518-84FE-EB910D2AFD49}"/>
    <cellStyle name="Millares 15" xfId="66" xr:uid="{8315EAE2-E517-4E66-9A03-1D95CA0D9FCB}"/>
    <cellStyle name="Millares 16" xfId="75" xr:uid="{C94D45F6-1FE7-4097-BA72-B395456528B7}"/>
    <cellStyle name="Millares 17" xfId="80" xr:uid="{C2D5CE2F-F934-41B6-9AB1-94777B34A68A}"/>
    <cellStyle name="Millares 18" xfId="82" xr:uid="{90519D43-C2B2-44B4-92EA-156AF5041D5F}"/>
    <cellStyle name="Millares 19" xfId="84" xr:uid="{D23D0A56-612B-41F8-8311-1BC3AEC86473}"/>
    <cellStyle name="Millares 2" xfId="5" xr:uid="{00000000-0005-0000-0000-000004000000}"/>
    <cellStyle name="Millares 2 2" xfId="6" xr:uid="{00000000-0005-0000-0000-000005000000}"/>
    <cellStyle name="Millares 2 2 2" xfId="48" xr:uid="{3D3F3942-3724-4E47-8FEF-58B8F7600C38}"/>
    <cellStyle name="Millares 20" xfId="89" xr:uid="{32AC816D-2D22-4B3F-B120-5A2F123CE6A3}"/>
    <cellStyle name="Millares 21" xfId="92" xr:uid="{029046C6-9E24-4CD4-9025-FE3E564C082F}"/>
    <cellStyle name="Millares 22" xfId="94" xr:uid="{B19C83B2-C254-4128-B5FF-6DEA0DCB56A1}"/>
    <cellStyle name="Millares 23" xfId="97" xr:uid="{CC0BE51A-DE50-4486-B47A-9582AFCAD003}"/>
    <cellStyle name="Millares 24" xfId="99" xr:uid="{D69E24A2-9B29-47B7-BFB5-34D2E9D7B2B0}"/>
    <cellStyle name="Millares 3" xfId="7" xr:uid="{00000000-0005-0000-0000-000006000000}"/>
    <cellStyle name="Millares 3 2" xfId="8" xr:uid="{00000000-0005-0000-0000-000007000000}"/>
    <cellStyle name="Millares 3 3" xfId="49" xr:uid="{2162B24E-46A6-41C2-9F5E-146B52AC2F23}"/>
    <cellStyle name="Millares 4" xfId="9" xr:uid="{00000000-0005-0000-0000-000008000000}"/>
    <cellStyle name="Millares 4 2" xfId="50" xr:uid="{437B2D42-4C88-43BF-8725-9B2E20FF7969}"/>
    <cellStyle name="Millares 5" xfId="10" xr:uid="{00000000-0005-0000-0000-000009000000}"/>
    <cellStyle name="Millares 6" xfId="11" xr:uid="{00000000-0005-0000-0000-00000A000000}"/>
    <cellStyle name="Millares 7" xfId="12" xr:uid="{00000000-0005-0000-0000-00000B000000}"/>
    <cellStyle name="Millares 8" xfId="13" xr:uid="{00000000-0005-0000-0000-00000C000000}"/>
    <cellStyle name="Millares 9" xfId="35" xr:uid="{3941AF9B-A336-4620-AF81-8C657CC57506}"/>
    <cellStyle name="Millares 9 2" xfId="56" xr:uid="{3C4EBC09-3968-4A32-91F4-6A964129F84B}"/>
    <cellStyle name="Neutral" xfId="14" builtinId="28" customBuiltin="1"/>
    <cellStyle name="Neutral 2" xfId="15" xr:uid="{00000000-0005-0000-0000-00000E000000}"/>
    <cellStyle name="Neutral 3" xfId="16" xr:uid="{00000000-0005-0000-0000-00000F000000}"/>
    <cellStyle name="Neutral 4" xfId="17" xr:uid="{00000000-0005-0000-0000-000010000000}"/>
    <cellStyle name="Neutral 5" xfId="51" xr:uid="{D50E872E-0A51-45F8-8951-AE33D4734264}"/>
    <cellStyle name="Normal" xfId="0" builtinId="0"/>
    <cellStyle name="Normal 10" xfId="34" xr:uid="{E04F89B1-EF61-4914-BE1D-A1E329EE39E7}"/>
    <cellStyle name="Normal 10 2" xfId="55" xr:uid="{31BCE0C6-972A-4667-9990-B6DD85AF5F9E}"/>
    <cellStyle name="Normal 11" xfId="36" xr:uid="{EDB1C418-3321-4737-AC24-AF2AE5DB851E}"/>
    <cellStyle name="Normal 11 2" xfId="57" xr:uid="{ABF60EF6-76F1-4CE3-920E-B0175DBB6D30}"/>
    <cellStyle name="Normal 12" xfId="38" xr:uid="{6474D8C7-2DE9-49EB-82E3-C4D36D311CBE}"/>
    <cellStyle name="Normal 12 2" xfId="59" xr:uid="{B39D459C-660D-4F5A-9CCF-1B574A7D9334}"/>
    <cellStyle name="Normal 13" xfId="40" xr:uid="{1E46AC84-C99B-4EA2-A02F-EF8081FE2A6C}"/>
    <cellStyle name="Normal 13 2" xfId="61" xr:uid="{980C3498-99E5-4F3F-B153-D8B4E7EAE751}"/>
    <cellStyle name="Normal 14" xfId="42" xr:uid="{0CFDF507-0FDD-48B5-BC4C-838E0110546E}"/>
    <cellStyle name="Normal 14 2" xfId="63" xr:uid="{18FC5DC5-5304-4BA6-A817-CB2AA992D259}"/>
    <cellStyle name="Normal 15" xfId="44" xr:uid="{A0636C0B-2857-4AAB-A8CE-C0860B85E462}"/>
    <cellStyle name="Normal 16" xfId="46" xr:uid="{1F52BDE2-3493-4F96-BBE2-BE15ECA121ED}"/>
    <cellStyle name="Normal 17" xfId="65" xr:uid="{38455323-2778-4DD5-B70E-091ABDBA667A}"/>
    <cellStyle name="Normal 18" xfId="67" xr:uid="{A3D0F39C-7CD5-43D5-AE02-F71CBA12128D}"/>
    <cellStyle name="Normal 19" xfId="68" xr:uid="{722C0F25-6439-46AA-8C11-7AAC6575BF45}"/>
    <cellStyle name="Normal 2" xfId="18" xr:uid="{00000000-0005-0000-0000-000012000000}"/>
    <cellStyle name="Normal 2 2" xfId="19" xr:uid="{00000000-0005-0000-0000-000013000000}"/>
    <cellStyle name="Normal 2 3" xfId="52" xr:uid="{25F5EF07-2880-40AF-8031-4324C2E75C6D}"/>
    <cellStyle name="Normal 20" xfId="69" xr:uid="{0A3EA1A7-17CE-4475-ABA9-1EC22DEC391E}"/>
    <cellStyle name="Normal 21" xfId="70" xr:uid="{D7D0A16A-D249-4DF2-914B-FCA6C7BF012C}"/>
    <cellStyle name="Normal 22" xfId="72" xr:uid="{69E254AD-17B2-4EDB-B4CB-4D5C4AD004E9}"/>
    <cellStyle name="Normal 23" xfId="73" xr:uid="{02E882ED-F88D-4E72-9581-5A9200992F0F}"/>
    <cellStyle name="Normal 24" xfId="74" xr:uid="{8386891C-F52F-4869-A770-8B835B4D1B16}"/>
    <cellStyle name="Normal 25" xfId="76" xr:uid="{92FF0303-4385-4E5D-AE26-32251776F3A4}"/>
    <cellStyle name="Normal 26" xfId="77" xr:uid="{2D57C5A9-25B9-443B-BA72-CD910F4A207A}"/>
    <cellStyle name="Normal 27" xfId="78" xr:uid="{91279FDA-5433-41C2-93E4-0474D4606355}"/>
    <cellStyle name="Normal 28" xfId="79" xr:uid="{68164A4A-D04E-4667-B4B4-078940DE8E98}"/>
    <cellStyle name="Normal 29" xfId="81" xr:uid="{6026E065-E7F9-4C95-9CC2-456E0C3874E4}"/>
    <cellStyle name="Normal 3" xfId="20" xr:uid="{00000000-0005-0000-0000-000014000000}"/>
    <cellStyle name="Normal 3 2" xfId="21" xr:uid="{00000000-0005-0000-0000-000015000000}"/>
    <cellStyle name="Normal 30" xfId="83" xr:uid="{B2A23DC0-2BE1-4825-855E-7232814C84AB}"/>
    <cellStyle name="Normal 31" xfId="85" xr:uid="{4A1A3462-277F-4DF6-9BBE-0E60A1466CFB}"/>
    <cellStyle name="Normal 32" xfId="86" xr:uid="{503FCC98-F518-4BD9-AED2-608C30B091E7}"/>
    <cellStyle name="Normal 33" xfId="87" xr:uid="{6EA8695C-63B1-4B22-A082-F5B8A22DBB5C}"/>
    <cellStyle name="Normal 34" xfId="88" xr:uid="{E2E5EE60-DB31-4290-AE8B-EC5DB86E2DE8}"/>
    <cellStyle name="Normal 35" xfId="90" xr:uid="{729209BA-35F8-446F-A2D1-0AE9AEF0BCF5}"/>
    <cellStyle name="Normal 36" xfId="91" xr:uid="{031C6E6E-778B-445C-B89E-90D9FAF085BF}"/>
    <cellStyle name="Normal 37" xfId="93" xr:uid="{B59A7B26-31F7-4E1C-9E0E-18D4F41BC1B6}"/>
    <cellStyle name="Normal 38" xfId="95" xr:uid="{3A9D785D-F97E-4FD7-B11B-B6DC1E1C7132}"/>
    <cellStyle name="Normal 39" xfId="96" xr:uid="{AF4E2B33-5F45-42A9-8363-E693C4492C9A}"/>
    <cellStyle name="Normal 4" xfId="22" xr:uid="{00000000-0005-0000-0000-000016000000}"/>
    <cellStyle name="Normal 40" xfId="98" xr:uid="{06413C40-90DB-43DD-BFFE-BE565C770A60}"/>
    <cellStyle name="Normal 5" xfId="23" xr:uid="{00000000-0005-0000-0000-000017000000}"/>
    <cellStyle name="Normal 6" xfId="24" xr:uid="{00000000-0005-0000-0000-000018000000}"/>
    <cellStyle name="Normal 7" xfId="25" xr:uid="{00000000-0005-0000-0000-000019000000}"/>
    <cellStyle name="Normal 8" xfId="26" xr:uid="{00000000-0005-0000-0000-00001A000000}"/>
    <cellStyle name="Normal 9" xfId="27" xr:uid="{00000000-0005-0000-0000-00001B000000}"/>
    <cellStyle name="Normal 9 2" xfId="28" xr:uid="{00000000-0005-0000-0000-00001C000000}"/>
    <cellStyle name="Notas 2" xfId="29" xr:uid="{00000000-0005-0000-0000-00001D000000}"/>
    <cellStyle name="Notas 3" xfId="30" xr:uid="{00000000-0005-0000-0000-00001E000000}"/>
    <cellStyle name="Notas 3 2" xfId="53" xr:uid="{510070E2-7F9B-4A88-A7AE-8D34DB12ADC5}"/>
    <cellStyle name="Porcentaje" xfId="43" builtinId="5"/>
    <cellStyle name="Porcentaje 2" xfId="31" xr:uid="{00000000-0005-0000-0000-00001F000000}"/>
    <cellStyle name="Porcentaje 2 2" xfId="54" xr:uid="{C1EE2176-2734-455F-9339-7690A795A6E8}"/>
    <cellStyle name="Porcentaje 3" xfId="64" xr:uid="{7BCF2219-F659-4C58-8683-05B7FA979DE7}"/>
    <cellStyle name="Título 4" xfId="32" xr:uid="{00000000-0005-0000-0000-000020000000}"/>
    <cellStyle name="Total" xfId="33" builtinId="25" customBuiltin="1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png"/><Relationship Id="rId1" Type="http://schemas.openxmlformats.org/officeDocument/2006/relationships/image" Target="../media/image2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png"/><Relationship Id="rId1" Type="http://schemas.openxmlformats.org/officeDocument/2006/relationships/image" Target="../media/image2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2971800</xdr:colOff>
      <xdr:row>4</xdr:row>
      <xdr:rowOff>47625</xdr:rowOff>
    </xdr:to>
    <xdr:pic>
      <xdr:nvPicPr>
        <xdr:cNvPr id="122639" name="Imagen 5">
          <a:extLst>
            <a:ext uri="{FF2B5EF4-FFF2-40B4-BE49-F238E27FC236}">
              <a16:creationId xmlns:a16="http://schemas.microsoft.com/office/drawing/2014/main" id="{FBB8FFAC-DAD7-B40B-D2EC-849F44E6C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2971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685511</xdr:colOff>
      <xdr:row>54</xdr:row>
      <xdr:rowOff>108047</xdr:rowOff>
    </xdr:from>
    <xdr:to>
      <xdr:col>0</xdr:col>
      <xdr:colOff>2868068</xdr:colOff>
      <xdr:row>54</xdr:row>
      <xdr:rowOff>126337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75DEB648-15A2-4642-9AF7-FF90C6FB6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511" y="11453380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1</xdr:col>
      <xdr:colOff>332991</xdr:colOff>
      <xdr:row>60</xdr:row>
      <xdr:rowOff>162791</xdr:rowOff>
    </xdr:from>
    <xdr:to>
      <xdr:col>2</xdr:col>
      <xdr:colOff>1848798</xdr:colOff>
      <xdr:row>60</xdr:row>
      <xdr:rowOff>181081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299C9B41-073E-4008-BCD3-CE5E31FEC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4908" y="12725208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672041</xdr:colOff>
      <xdr:row>54</xdr:row>
      <xdr:rowOff>122767</xdr:rowOff>
    </xdr:from>
    <xdr:to>
      <xdr:col>4</xdr:col>
      <xdr:colOff>886099</xdr:colOff>
      <xdr:row>54</xdr:row>
      <xdr:rowOff>141057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4EC188-DC06-467F-984C-E5D2A46B2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25708" y="11468100"/>
          <a:ext cx="2171974" cy="182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38100</xdr:rowOff>
    </xdr:from>
    <xdr:to>
      <xdr:col>2</xdr:col>
      <xdr:colOff>914400</xdr:colOff>
      <xdr:row>1</xdr:row>
      <xdr:rowOff>238125</xdr:rowOff>
    </xdr:to>
    <xdr:pic>
      <xdr:nvPicPr>
        <xdr:cNvPr id="111142" name="Imagen 5">
          <a:extLst>
            <a:ext uri="{FF2B5EF4-FFF2-40B4-BE49-F238E27FC236}">
              <a16:creationId xmlns:a16="http://schemas.microsoft.com/office/drawing/2014/main" id="{4E642CD8-AE2F-6148-B158-8F827AD10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19335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28575</xdr:rowOff>
    </xdr:from>
    <xdr:to>
      <xdr:col>1</xdr:col>
      <xdr:colOff>1981200</xdr:colOff>
      <xdr:row>2</xdr:row>
      <xdr:rowOff>228600</xdr:rowOff>
    </xdr:to>
    <xdr:pic>
      <xdr:nvPicPr>
        <xdr:cNvPr id="125042" name="Imagen 5">
          <a:extLst>
            <a:ext uri="{FF2B5EF4-FFF2-40B4-BE49-F238E27FC236}">
              <a16:creationId xmlns:a16="http://schemas.microsoft.com/office/drawing/2014/main" id="{E4A63FC3-962F-B871-4424-7086795C7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19335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1562100</xdr:colOff>
      <xdr:row>1</xdr:row>
      <xdr:rowOff>209550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6F280ABA-122E-77FA-5818-1F29A79BB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57150</xdr:rowOff>
    </xdr:from>
    <xdr:to>
      <xdr:col>1</xdr:col>
      <xdr:colOff>2162175</xdr:colOff>
      <xdr:row>2</xdr:row>
      <xdr:rowOff>9525</xdr:rowOff>
    </xdr:to>
    <xdr:pic>
      <xdr:nvPicPr>
        <xdr:cNvPr id="106032" name="Imagen 5">
          <a:extLst>
            <a:ext uri="{FF2B5EF4-FFF2-40B4-BE49-F238E27FC236}">
              <a16:creationId xmlns:a16="http://schemas.microsoft.com/office/drawing/2014/main" id="{D9A7D43C-C7F7-8B16-5F95-500BFD2E3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7150"/>
          <a:ext cx="21240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0</xdr:row>
      <xdr:rowOff>76201</xdr:rowOff>
    </xdr:from>
    <xdr:to>
      <xdr:col>1</xdr:col>
      <xdr:colOff>1809750</xdr:colOff>
      <xdr:row>2</xdr:row>
      <xdr:rowOff>27380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5B75407B-3ACC-8C68-0B55-3A33BB7EB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1" y="76201"/>
          <a:ext cx="1724024" cy="579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1</xdr:col>
      <xdr:colOff>2038350</xdr:colOff>
      <xdr:row>2</xdr:row>
      <xdr:rowOff>0</xdr:rowOff>
    </xdr:to>
    <xdr:pic>
      <xdr:nvPicPr>
        <xdr:cNvPr id="128023" name="Imagen 5">
          <a:extLst>
            <a:ext uri="{FF2B5EF4-FFF2-40B4-BE49-F238E27FC236}">
              <a16:creationId xmlns:a16="http://schemas.microsoft.com/office/drawing/2014/main" id="{73FC42E7-D996-D5BA-6EBC-BDD778E38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2476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1</xdr:col>
      <xdr:colOff>1276350</xdr:colOff>
      <xdr:row>2</xdr:row>
      <xdr:rowOff>135082</xdr:rowOff>
    </xdr:to>
    <xdr:pic>
      <xdr:nvPicPr>
        <xdr:cNvPr id="107056" name="Imagen 5">
          <a:extLst>
            <a:ext uri="{FF2B5EF4-FFF2-40B4-BE49-F238E27FC236}">
              <a16:creationId xmlns:a16="http://schemas.microsoft.com/office/drawing/2014/main" id="{4062ED9C-56A0-1DCF-8E0B-298877DA6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1914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76200</xdr:rowOff>
    </xdr:from>
    <xdr:to>
      <xdr:col>1</xdr:col>
      <xdr:colOff>1609725</xdr:colOff>
      <xdr:row>2</xdr:row>
      <xdr:rowOff>95250</xdr:rowOff>
    </xdr:to>
    <xdr:pic>
      <xdr:nvPicPr>
        <xdr:cNvPr id="127045" name="Imagen 5">
          <a:extLst>
            <a:ext uri="{FF2B5EF4-FFF2-40B4-BE49-F238E27FC236}">
              <a16:creationId xmlns:a16="http://schemas.microsoft.com/office/drawing/2014/main" id="{6F3A6C53-FEA6-A70F-5EE3-BEFE770A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6200"/>
          <a:ext cx="17049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133350</xdr:rowOff>
    </xdr:from>
    <xdr:to>
      <xdr:col>1</xdr:col>
      <xdr:colOff>2047875</xdr:colOff>
      <xdr:row>4</xdr:row>
      <xdr:rowOff>228600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146610C-2936-4B1B-8541-FA1B59466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57200"/>
          <a:ext cx="17049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1</xdr:col>
      <xdr:colOff>1857375</xdr:colOff>
      <xdr:row>4</xdr:row>
      <xdr:rowOff>28575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A05D70BF-6987-4E10-82C5-0841968AF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90500"/>
          <a:ext cx="17049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200025</xdr:rowOff>
    </xdr:from>
    <xdr:to>
      <xdr:col>0</xdr:col>
      <xdr:colOff>2943225</xdr:colOff>
      <xdr:row>3</xdr:row>
      <xdr:rowOff>159808</xdr:rowOff>
    </xdr:to>
    <xdr:pic>
      <xdr:nvPicPr>
        <xdr:cNvPr id="123662" name="Imagen 5">
          <a:extLst>
            <a:ext uri="{FF2B5EF4-FFF2-40B4-BE49-F238E27FC236}">
              <a16:creationId xmlns:a16="http://schemas.microsoft.com/office/drawing/2014/main" id="{AF619B97-FC7E-6A3A-2280-402185403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28289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508000</xdr:colOff>
      <xdr:row>44</xdr:row>
      <xdr:rowOff>148167</xdr:rowOff>
    </xdr:from>
    <xdr:to>
      <xdr:col>0</xdr:col>
      <xdr:colOff>2690557</xdr:colOff>
      <xdr:row>44</xdr:row>
      <xdr:rowOff>166457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FD18B5-E56D-8A2E-9D04-F69CF0D80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0" y="9112250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3</xdr:col>
      <xdr:colOff>412750</xdr:colOff>
      <xdr:row>44</xdr:row>
      <xdr:rowOff>148166</xdr:rowOff>
    </xdr:from>
    <xdr:to>
      <xdr:col>4</xdr:col>
      <xdr:colOff>849057</xdr:colOff>
      <xdr:row>44</xdr:row>
      <xdr:rowOff>166456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AE03CAB-5102-43BC-91BC-775AD7F69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20833" y="9112249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1</xdr:col>
      <xdr:colOff>78317</xdr:colOff>
      <xdr:row>50</xdr:row>
      <xdr:rowOff>152399</xdr:rowOff>
    </xdr:from>
    <xdr:to>
      <xdr:col>2</xdr:col>
      <xdr:colOff>1562374</xdr:colOff>
      <xdr:row>50</xdr:row>
      <xdr:rowOff>170689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EF56D0-1A53-4C71-B45C-A2E2107EF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8650" y="10259482"/>
          <a:ext cx="2182557" cy="1829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1981200</xdr:colOff>
      <xdr:row>1</xdr:row>
      <xdr:rowOff>200025</xdr:rowOff>
    </xdr:to>
    <xdr:pic>
      <xdr:nvPicPr>
        <xdr:cNvPr id="112133" name="Imagen 10">
          <a:extLst>
            <a:ext uri="{FF2B5EF4-FFF2-40B4-BE49-F238E27FC236}">
              <a16:creationId xmlns:a16="http://schemas.microsoft.com/office/drawing/2014/main" id="{038AD5BE-7843-AF9D-E79E-D66DDA214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0"/>
          <a:ext cx="1819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590551</xdr:colOff>
      <xdr:row>1</xdr:row>
      <xdr:rowOff>95250</xdr:rowOff>
    </xdr:from>
    <xdr:to>
      <xdr:col>1</xdr:col>
      <xdr:colOff>1790701</xdr:colOff>
      <xdr:row>4</xdr:row>
      <xdr:rowOff>72166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849152-FB51-4116-8898-542FA5874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1" y="257175"/>
          <a:ext cx="1962150" cy="462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225877</xdr:colOff>
      <xdr:row>0</xdr:row>
      <xdr:rowOff>0</xdr:rowOff>
    </xdr:from>
    <xdr:to>
      <xdr:col>2</xdr:col>
      <xdr:colOff>576748</xdr:colOff>
      <xdr:row>3</xdr:row>
      <xdr:rowOff>108663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DF238433-E1DA-C21D-46DB-C6DD5F355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877" y="0"/>
          <a:ext cx="2343345" cy="682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104775</xdr:rowOff>
    </xdr:from>
    <xdr:to>
      <xdr:col>1</xdr:col>
      <xdr:colOff>2095500</xdr:colOff>
      <xdr:row>2</xdr:row>
      <xdr:rowOff>0</xdr:rowOff>
    </xdr:to>
    <xdr:pic>
      <xdr:nvPicPr>
        <xdr:cNvPr id="126412" name="Imagen 5">
          <a:extLst>
            <a:ext uri="{FF2B5EF4-FFF2-40B4-BE49-F238E27FC236}">
              <a16:creationId xmlns:a16="http://schemas.microsoft.com/office/drawing/2014/main" id="{2E8EB3B3-B307-3653-41C3-AA8406BD5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20193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85726</xdr:colOff>
      <xdr:row>30</xdr:row>
      <xdr:rowOff>168276</xdr:rowOff>
    </xdr:from>
    <xdr:to>
      <xdr:col>1</xdr:col>
      <xdr:colOff>1905001</xdr:colOff>
      <xdr:row>32</xdr:row>
      <xdr:rowOff>140759</xdr:rowOff>
    </xdr:to>
    <xdr:pic>
      <xdr:nvPicPr>
        <xdr:cNvPr id="10" name="Imagen 5">
          <a:extLst>
            <a:ext uri="{FF2B5EF4-FFF2-40B4-BE49-F238E27FC236}">
              <a16:creationId xmlns:a16="http://schemas.microsoft.com/office/drawing/2014/main" id="{D422BA19-CA8B-83F5-E3E2-132D51ABF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559" y="10074276"/>
          <a:ext cx="1819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85727</xdr:colOff>
      <xdr:row>67</xdr:row>
      <xdr:rowOff>9525</xdr:rowOff>
    </xdr:from>
    <xdr:ext cx="1819275" cy="466725"/>
    <xdr:pic>
      <xdr:nvPicPr>
        <xdr:cNvPr id="2" name="Imagen 5">
          <a:extLst>
            <a:ext uri="{FF2B5EF4-FFF2-40B4-BE49-F238E27FC236}">
              <a16:creationId xmlns:a16="http://schemas.microsoft.com/office/drawing/2014/main" id="{E08C6E16-7497-4A44-9154-035931D83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560" y="20477692"/>
          <a:ext cx="1819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85727</xdr:colOff>
      <xdr:row>83</xdr:row>
      <xdr:rowOff>9525</xdr:rowOff>
    </xdr:from>
    <xdr:ext cx="1819275" cy="466725"/>
    <xdr:pic>
      <xdr:nvPicPr>
        <xdr:cNvPr id="4" name="Imagen 5">
          <a:extLst>
            <a:ext uri="{FF2B5EF4-FFF2-40B4-BE49-F238E27FC236}">
              <a16:creationId xmlns:a16="http://schemas.microsoft.com/office/drawing/2014/main" id="{C95B842C-4FEB-42A6-B7F9-9EFA291D8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560" y="20255442"/>
          <a:ext cx="1819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62442</xdr:rowOff>
    </xdr:from>
    <xdr:to>
      <xdr:col>0</xdr:col>
      <xdr:colOff>2063750</xdr:colOff>
      <xdr:row>1</xdr:row>
      <xdr:rowOff>275167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E82E2B53-8CB7-4DB8-A4ED-63C43A4FA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0" y="62442"/>
          <a:ext cx="20193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138643</xdr:colOff>
      <xdr:row>31</xdr:row>
      <xdr:rowOff>254001</xdr:rowOff>
    </xdr:from>
    <xdr:ext cx="1819275" cy="466725"/>
    <xdr:pic>
      <xdr:nvPicPr>
        <xdr:cNvPr id="4" name="Imagen 5">
          <a:extLst>
            <a:ext uri="{FF2B5EF4-FFF2-40B4-BE49-F238E27FC236}">
              <a16:creationId xmlns:a16="http://schemas.microsoft.com/office/drawing/2014/main" id="{07D52B5C-8E53-49F8-AB57-954376ED7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43" y="9863668"/>
          <a:ext cx="1819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49741</xdr:colOff>
      <xdr:row>0</xdr:row>
      <xdr:rowOff>21167</xdr:rowOff>
    </xdr:from>
    <xdr:ext cx="2019300" cy="533400"/>
    <xdr:pic>
      <xdr:nvPicPr>
        <xdr:cNvPr id="124168" name="Imagen 5">
          <a:extLst>
            <a:ext uri="{FF2B5EF4-FFF2-40B4-BE49-F238E27FC236}">
              <a16:creationId xmlns:a16="http://schemas.microsoft.com/office/drawing/2014/main" id="{5CE6D568-7448-262D-5509-D26DD9ACA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41" y="21167"/>
          <a:ext cx="2019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31</xdr:row>
      <xdr:rowOff>101600</xdr:rowOff>
    </xdr:from>
    <xdr:ext cx="2019300" cy="533400"/>
    <xdr:pic>
      <xdr:nvPicPr>
        <xdr:cNvPr id="124169" name="Imagen 5">
          <a:extLst>
            <a:ext uri="{FF2B5EF4-FFF2-40B4-BE49-F238E27FC236}">
              <a16:creationId xmlns:a16="http://schemas.microsoft.com/office/drawing/2014/main" id="{41BD9BB7-1DCF-4148-33CD-8586050F6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33" y="9626600"/>
          <a:ext cx="2019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95250</xdr:rowOff>
    </xdr:from>
    <xdr:ext cx="2019300" cy="533400"/>
    <xdr:pic>
      <xdr:nvPicPr>
        <xdr:cNvPr id="2" name="Imagen 5">
          <a:extLst>
            <a:ext uri="{FF2B5EF4-FFF2-40B4-BE49-F238E27FC236}">
              <a16:creationId xmlns:a16="http://schemas.microsoft.com/office/drawing/2014/main" id="{3B8D1F6E-6BC4-4A7A-B804-F7D31E2B8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2019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10680</xdr:rowOff>
    </xdr:from>
    <xdr:to>
      <xdr:col>2</xdr:col>
      <xdr:colOff>871489</xdr:colOff>
      <xdr:row>2</xdr:row>
      <xdr:rowOff>62642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FCC893-BC23-4E87-941E-51D3F11EE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80"/>
          <a:ext cx="1560464" cy="452012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0</xdr:col>
      <xdr:colOff>1579275</xdr:colOff>
      <xdr:row>2</xdr:row>
      <xdr:rowOff>9526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EFE0EB6D-5B2A-8C03-25A8-A34D8316A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1579275" cy="38100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1766888" cy="466725"/>
    <xdr:pic>
      <xdr:nvPicPr>
        <xdr:cNvPr id="2" name="Imagen 5">
          <a:extLst>
            <a:ext uri="{FF2B5EF4-FFF2-40B4-BE49-F238E27FC236}">
              <a16:creationId xmlns:a16="http://schemas.microsoft.com/office/drawing/2014/main" id="{837C7CE7-BA36-45B4-8583-F669CBC89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766888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19</xdr:row>
      <xdr:rowOff>222250</xdr:rowOff>
    </xdr:from>
    <xdr:ext cx="1766888" cy="466725"/>
    <xdr:pic>
      <xdr:nvPicPr>
        <xdr:cNvPr id="3" name="Imagen 5">
          <a:extLst>
            <a:ext uri="{FF2B5EF4-FFF2-40B4-BE49-F238E27FC236}">
              <a16:creationId xmlns:a16="http://schemas.microsoft.com/office/drawing/2014/main" id="{4075567B-BCEB-4D5D-9A1E-B2434D377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4750"/>
          <a:ext cx="1766888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</xdr:colOff>
      <xdr:row>0</xdr:row>
      <xdr:rowOff>178593</xdr:rowOff>
    </xdr:from>
    <xdr:to>
      <xdr:col>1</xdr:col>
      <xdr:colOff>3540918</xdr:colOff>
      <xdr:row>4</xdr:row>
      <xdr:rowOff>93085</xdr:rowOff>
    </xdr:to>
    <xdr:pic>
      <xdr:nvPicPr>
        <xdr:cNvPr id="101949" name="Imagen 5">
          <a:extLst>
            <a:ext uri="{FF2B5EF4-FFF2-40B4-BE49-F238E27FC236}">
              <a16:creationId xmlns:a16="http://schemas.microsoft.com/office/drawing/2014/main" id="{B8782D00-277A-552A-3006-2A30D4186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943" y="178593"/>
          <a:ext cx="3479006" cy="724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95249</xdr:rowOff>
    </xdr:from>
    <xdr:to>
      <xdr:col>0</xdr:col>
      <xdr:colOff>2209800</xdr:colOff>
      <xdr:row>1</xdr:row>
      <xdr:rowOff>295275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A22325B-61C2-96DB-B02E-3F2B93416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249"/>
          <a:ext cx="2181225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271464</xdr:colOff>
      <xdr:row>0</xdr:row>
      <xdr:rowOff>109539</xdr:rowOff>
    </xdr:from>
    <xdr:to>
      <xdr:col>1</xdr:col>
      <xdr:colOff>3071813</xdr:colOff>
      <xdr:row>2</xdr:row>
      <xdr:rowOff>193810</xdr:rowOff>
    </xdr:to>
    <xdr:pic>
      <xdr:nvPicPr>
        <xdr:cNvPr id="117100" name="Imagen 5">
          <a:extLst>
            <a:ext uri="{FF2B5EF4-FFF2-40B4-BE49-F238E27FC236}">
              <a16:creationId xmlns:a16="http://schemas.microsoft.com/office/drawing/2014/main" id="{3F9420CD-8756-963F-5277-A2D2B2271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4" y="109539"/>
          <a:ext cx="3109912" cy="631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166688</xdr:colOff>
      <xdr:row>0</xdr:row>
      <xdr:rowOff>128588</xdr:rowOff>
    </xdr:from>
    <xdr:to>
      <xdr:col>2</xdr:col>
      <xdr:colOff>261937</xdr:colOff>
      <xdr:row>3</xdr:row>
      <xdr:rowOff>159544</xdr:rowOff>
    </xdr:to>
    <xdr:pic>
      <xdr:nvPicPr>
        <xdr:cNvPr id="109102" name="Imagen 5">
          <a:extLst>
            <a:ext uri="{FF2B5EF4-FFF2-40B4-BE49-F238E27FC236}">
              <a16:creationId xmlns:a16="http://schemas.microsoft.com/office/drawing/2014/main" id="{0E52FF90-3591-D5B5-CC0C-909F1E5B1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69" y="128588"/>
          <a:ext cx="2440781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28575</xdr:rowOff>
    </xdr:from>
    <xdr:to>
      <xdr:col>1</xdr:col>
      <xdr:colOff>1914525</xdr:colOff>
      <xdr:row>1</xdr:row>
      <xdr:rowOff>276225</xdr:rowOff>
    </xdr:to>
    <xdr:pic>
      <xdr:nvPicPr>
        <xdr:cNvPr id="103984" name="Imagen 5">
          <a:extLst>
            <a:ext uri="{FF2B5EF4-FFF2-40B4-BE49-F238E27FC236}">
              <a16:creationId xmlns:a16="http://schemas.microsoft.com/office/drawing/2014/main" id="{D949302E-C951-499B-1C92-F7CDEC489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"/>
          <a:ext cx="22288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123825</xdr:rowOff>
    </xdr:from>
    <xdr:to>
      <xdr:col>1</xdr:col>
      <xdr:colOff>2115608</xdr:colOff>
      <xdr:row>2</xdr:row>
      <xdr:rowOff>57150</xdr:rowOff>
    </xdr:to>
    <xdr:pic>
      <xdr:nvPicPr>
        <xdr:cNvPr id="102966" name="Imagen 5">
          <a:extLst>
            <a:ext uri="{FF2B5EF4-FFF2-40B4-BE49-F238E27FC236}">
              <a16:creationId xmlns:a16="http://schemas.microsoft.com/office/drawing/2014/main" id="{D5574382-4D5E-358D-643B-B7C07B469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2286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180975</xdr:rowOff>
    </xdr:from>
    <xdr:to>
      <xdr:col>1</xdr:col>
      <xdr:colOff>1743075</xdr:colOff>
      <xdr:row>2</xdr:row>
      <xdr:rowOff>0</xdr:rowOff>
    </xdr:to>
    <xdr:pic>
      <xdr:nvPicPr>
        <xdr:cNvPr id="72643" name="Imagen 5">
          <a:extLst>
            <a:ext uri="{FF2B5EF4-FFF2-40B4-BE49-F238E27FC236}">
              <a16:creationId xmlns:a16="http://schemas.microsoft.com/office/drawing/2014/main" id="{6E593C62-F4DE-9C64-DCF2-F9DC064E7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80975"/>
          <a:ext cx="1781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152400</xdr:rowOff>
    </xdr:from>
    <xdr:to>
      <xdr:col>1</xdr:col>
      <xdr:colOff>2190750</xdr:colOff>
      <xdr:row>2</xdr:row>
      <xdr:rowOff>197644</xdr:rowOff>
    </xdr:to>
    <xdr:pic>
      <xdr:nvPicPr>
        <xdr:cNvPr id="105008" name="Imagen 5">
          <a:extLst>
            <a:ext uri="{FF2B5EF4-FFF2-40B4-BE49-F238E27FC236}">
              <a16:creationId xmlns:a16="http://schemas.microsoft.com/office/drawing/2014/main" id="{7CFF9A80-00C2-C530-603F-DC71AE03F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52400"/>
          <a:ext cx="2152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2%20CONT%20NEW/2024/ESTADOS%20FINANCIEROS/EF%2005%20Estados%20Financieros%20MAY%2024.xlsx" TargetMode="External"/><Relationship Id="rId1" Type="http://schemas.openxmlformats.org/officeDocument/2006/relationships/externalLinkPath" Target="https://fonpercloud-my.sharepoint.com/personal/ccuevas_fonper_gov_do/Documents/Escritorio/EF%2005%20Estados%20Financieros%20MAY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Situación"/>
      <sheetName val="Estado de Resultados"/>
      <sheetName val="A-SITUACION ANEXOS"/>
      <sheetName val="A-RESULTADOS ANEXOS"/>
      <sheetName val="NOTA 14-CAPITAL"/>
      <sheetName val="Cédula Nota 1"/>
      <sheetName val="Cédula Nota 2 "/>
      <sheetName val="Nota 3 Resumen"/>
      <sheetName val="NOTA 3-C-CONST "/>
      <sheetName val="NOTA 3-ANTIC COMP Y OTRAS"/>
      <sheetName val="NOTA 3-Intereses"/>
      <sheetName val="Nota 3 CxC Emplead"/>
      <sheetName val="NOTA 3-C X C"/>
      <sheetName val="NOTA 4  INVENTARIO"/>
      <sheetName val="NOTA 5  GPA"/>
      <sheetName val="NOTA 5-SEG PAG X ANT"/>
      <sheetName val="NOTA 5 - LIC MS 365 AMORTIZ"/>
      <sheetName val="NOTA 5 LICENCIAS JIRA"/>
      <sheetName val="NOTA 5 Licencias Adobe"/>
      <sheetName val="NOTA 7-AVANCES A FUTURAS CAPIT"/>
      <sheetName val="NOTA 8-PROPIEDAD, PLANTA Y EQUI"/>
      <sheetName val="NOTA 9-CEDULAS CxP PROVEEDORES "/>
      <sheetName val="NOTA 10-CEDULAS CxP CONTRATISTA"/>
      <sheetName val="NOTA 11-GASTOS PERSONAL X PAGAR"/>
      <sheetName val="NOTA 11-BONIFICACION"/>
      <sheetName val="NOTA 11-VACACIONES"/>
      <sheetName val="NOTA 11-REGALIA"/>
      <sheetName val="NOTA 12-RETENCIONES X PAGAR"/>
      <sheetName val="NOTA 13-OTRAS CXP"/>
      <sheetName val="NOTA 15-DIVIDENDOS"/>
      <sheetName val="Hoj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6">
          <cell r="I16">
            <v>5881555.6499999994</v>
          </cell>
        </row>
        <row r="23">
          <cell r="I23">
            <v>5881555.6499999994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6:M89"/>
  <sheetViews>
    <sheetView tabSelected="1" zoomScale="90" zoomScaleNormal="90" workbookViewId="0">
      <selection activeCell="D46" sqref="D46"/>
    </sheetView>
  </sheetViews>
  <sheetFormatPr baseColWidth="10" defaultColWidth="9.140625" defaultRowHeight="15.75" x14ac:dyDescent="0.25"/>
  <cols>
    <col min="1" max="1" width="52.140625" style="1" customWidth="1"/>
    <col min="2" max="2" width="10" style="1" customWidth="1"/>
    <col min="3" max="3" width="28.5703125" style="2" bestFit="1" customWidth="1"/>
    <col min="4" max="4" width="29.42578125" style="2" bestFit="1" customWidth="1"/>
    <col min="5" max="5" width="25" style="2" customWidth="1"/>
    <col min="6" max="6" width="21.42578125" style="2" customWidth="1"/>
    <col min="7" max="7" width="18.28515625" style="3" customWidth="1"/>
    <col min="8" max="8" width="21.42578125" style="1" bestFit="1" customWidth="1"/>
    <col min="9" max="9" width="18.42578125" style="1" bestFit="1" customWidth="1"/>
    <col min="10" max="12" width="9.140625" style="1" customWidth="1"/>
    <col min="13" max="13" width="19.140625" style="1" bestFit="1" customWidth="1"/>
    <col min="14" max="16384" width="9.140625" style="1"/>
  </cols>
  <sheetData>
    <row r="6" spans="1:8" x14ac:dyDescent="0.25">
      <c r="A6" s="1" t="s">
        <v>261</v>
      </c>
    </row>
    <row r="7" spans="1:8" s="7" customFormat="1" ht="19.899999999999999" customHeight="1" x14ac:dyDescent="0.3">
      <c r="A7" s="480" t="s">
        <v>2</v>
      </c>
      <c r="B7" s="480"/>
      <c r="C7" s="480"/>
      <c r="D7" s="480"/>
      <c r="E7" s="480"/>
      <c r="F7" s="5"/>
      <c r="G7" s="6"/>
    </row>
    <row r="8" spans="1:8" s="7" customFormat="1" ht="18.75" x14ac:dyDescent="0.3">
      <c r="A8" s="481" t="s">
        <v>174</v>
      </c>
      <c r="B8" s="481"/>
      <c r="C8" s="481"/>
      <c r="D8" s="481"/>
      <c r="E8" s="481"/>
      <c r="F8" s="5"/>
      <c r="G8" s="6"/>
    </row>
    <row r="9" spans="1:8" s="7" customFormat="1" ht="18.75" x14ac:dyDescent="0.3">
      <c r="A9" s="482" t="s">
        <v>814</v>
      </c>
      <c r="B9" s="482"/>
      <c r="C9" s="482"/>
      <c r="D9" s="482"/>
      <c r="E9" s="482"/>
      <c r="F9" s="8"/>
      <c r="G9" s="6"/>
    </row>
    <row r="10" spans="1:8" s="7" customFormat="1" ht="18.75" x14ac:dyDescent="0.3">
      <c r="A10" s="483" t="s">
        <v>184</v>
      </c>
      <c r="B10" s="483"/>
      <c r="C10" s="483"/>
      <c r="D10" s="483"/>
      <c r="E10" s="483"/>
      <c r="F10" s="5"/>
      <c r="G10" s="6"/>
    </row>
    <row r="11" spans="1:8" s="7" customFormat="1" ht="18.75" x14ac:dyDescent="0.3">
      <c r="A11" s="10"/>
      <c r="B11" s="10"/>
      <c r="C11" s="10"/>
      <c r="D11" s="10"/>
      <c r="E11" s="11"/>
      <c r="F11" s="11"/>
      <c r="G11" s="6"/>
    </row>
    <row r="12" spans="1:8" s="7" customFormat="1" ht="18.75" x14ac:dyDescent="0.3">
      <c r="C12" s="11"/>
      <c r="D12" s="11"/>
      <c r="E12" s="11"/>
      <c r="F12" s="11"/>
      <c r="G12" s="6"/>
    </row>
    <row r="13" spans="1:8" s="12" customFormat="1" ht="24.75" customHeight="1" x14ac:dyDescent="0.2">
      <c r="B13" s="13" t="s">
        <v>77</v>
      </c>
      <c r="C13" s="13" t="s">
        <v>3</v>
      </c>
      <c r="D13" s="13" t="s">
        <v>66</v>
      </c>
      <c r="E13" s="13" t="s">
        <v>67</v>
      </c>
      <c r="F13" s="14"/>
      <c r="G13" s="15"/>
    </row>
    <row r="14" spans="1:8" x14ac:dyDescent="0.25">
      <c r="A14" s="16" t="s">
        <v>4</v>
      </c>
      <c r="B14" s="16"/>
      <c r="C14" s="17"/>
      <c r="D14" s="17"/>
      <c r="E14" s="17"/>
      <c r="F14" s="17"/>
      <c r="G14" s="18"/>
    </row>
    <row r="15" spans="1:8" x14ac:dyDescent="0.25">
      <c r="A15" s="298" t="s">
        <v>0</v>
      </c>
      <c r="B15" s="298"/>
      <c r="C15" s="17"/>
      <c r="D15" s="17"/>
      <c r="E15" s="17"/>
      <c r="F15" s="17"/>
      <c r="G15" s="17"/>
    </row>
    <row r="16" spans="1:8" x14ac:dyDescent="0.25">
      <c r="A16" s="1" t="s">
        <v>110</v>
      </c>
      <c r="B16" s="19">
        <v>1</v>
      </c>
      <c r="C16" s="17">
        <f>+'A-SITUACION ANEXOS'!D20</f>
        <v>282788158.46000004</v>
      </c>
      <c r="D16" s="17">
        <f>+'A-SITUACION ANEXOS'!E20</f>
        <v>352369038.04999995</v>
      </c>
      <c r="E16" s="17">
        <f>+C16-D16</f>
        <v>-69580879.589999914</v>
      </c>
      <c r="F16" s="17"/>
      <c r="G16" s="17"/>
      <c r="H16" s="20"/>
    </row>
    <row r="17" spans="1:8" x14ac:dyDescent="0.25">
      <c r="A17" s="1" t="s">
        <v>111</v>
      </c>
      <c r="B17" s="19">
        <v>2</v>
      </c>
      <c r="C17" s="17">
        <f>+'A-SITUACION ANEXOS'!D28</f>
        <v>2424135236.6799998</v>
      </c>
      <c r="D17" s="17">
        <f>+'A-SITUACION ANEXOS'!E28</f>
        <v>1906394949.6500001</v>
      </c>
      <c r="E17" s="17">
        <f>+C17-D17</f>
        <v>517740287.02999973</v>
      </c>
      <c r="F17" s="299"/>
      <c r="G17" s="17"/>
      <c r="H17" s="20"/>
    </row>
    <row r="18" spans="1:8" x14ac:dyDescent="0.25">
      <c r="A18" s="1" t="s">
        <v>112</v>
      </c>
      <c r="B18" s="19">
        <v>3</v>
      </c>
      <c r="C18" s="17">
        <f>+'A-SITUACION ANEXOS'!D39</f>
        <v>26027728.959999997</v>
      </c>
      <c r="D18" s="17">
        <f>+'A-SITUACION ANEXOS'!E39</f>
        <v>26013560.780000001</v>
      </c>
      <c r="E18" s="17">
        <f>+C18-D18</f>
        <v>14168.179999995977</v>
      </c>
      <c r="F18" s="17"/>
      <c r="G18" s="17"/>
      <c r="H18" s="20"/>
    </row>
    <row r="19" spans="1:8" x14ac:dyDescent="0.25">
      <c r="A19" s="1" t="s">
        <v>667</v>
      </c>
      <c r="B19" s="19">
        <v>4</v>
      </c>
      <c r="C19" s="17">
        <f>+'A-SITUACION ANEXOS'!D46</f>
        <v>3255031.2499999995</v>
      </c>
      <c r="D19" s="17">
        <f>+'A-SITUACION ANEXOS'!E46</f>
        <v>3705267.26</v>
      </c>
      <c r="E19" s="17">
        <f>+C19-D19</f>
        <v>-450236.01000000024</v>
      </c>
      <c r="F19" s="17"/>
      <c r="G19" s="17"/>
      <c r="H19" s="20"/>
    </row>
    <row r="20" spans="1:8" x14ac:dyDescent="0.25">
      <c r="A20" s="1" t="s">
        <v>668</v>
      </c>
      <c r="B20" s="19">
        <v>5</v>
      </c>
      <c r="C20" s="17">
        <f>+'A-SITUACION ANEXOS'!D53</f>
        <v>2182952.6883333335</v>
      </c>
      <c r="D20" s="17">
        <f>+'A-SITUACION ANEXOS'!E53</f>
        <v>1680770.1924999999</v>
      </c>
      <c r="E20" s="17">
        <f>+C20-D20</f>
        <v>502182.49583333358</v>
      </c>
      <c r="F20" s="17"/>
      <c r="G20" s="17"/>
      <c r="H20" s="20"/>
    </row>
    <row r="21" spans="1:8" x14ac:dyDescent="0.25">
      <c r="A21" s="16" t="s">
        <v>113</v>
      </c>
      <c r="B21" s="53"/>
      <c r="C21" s="21">
        <f>SUM(C16:C20)</f>
        <v>2738389108.0383334</v>
      </c>
      <c r="D21" s="21">
        <f>SUM(D16:D20)</f>
        <v>2290163585.9325004</v>
      </c>
      <c r="E21" s="21">
        <f>SUM(E16:E20)</f>
        <v>448225522.10583317</v>
      </c>
      <c r="F21" s="17"/>
      <c r="G21" s="1"/>
      <c r="H21" s="20"/>
    </row>
    <row r="22" spans="1:8" x14ac:dyDescent="0.25">
      <c r="B22" s="19"/>
      <c r="C22" s="17"/>
      <c r="D22" s="17"/>
      <c r="E22" s="17"/>
      <c r="F22" s="418"/>
      <c r="G22" s="20"/>
      <c r="H22" s="20"/>
    </row>
    <row r="23" spans="1:8" x14ac:dyDescent="0.25">
      <c r="A23" s="298" t="s">
        <v>1</v>
      </c>
      <c r="B23" s="300"/>
      <c r="C23" s="17"/>
      <c r="D23" s="17"/>
      <c r="E23" s="17"/>
      <c r="F23" s="418"/>
      <c r="G23" s="1"/>
      <c r="H23" s="20"/>
    </row>
    <row r="24" spans="1:8" x14ac:dyDescent="0.25">
      <c r="A24" s="1" t="s">
        <v>114</v>
      </c>
      <c r="B24" s="19">
        <v>6</v>
      </c>
      <c r="C24" s="23">
        <f>+'A-SITUACION ANEXOS'!D96</f>
        <v>12655249735.76</v>
      </c>
      <c r="D24" s="23">
        <f>+'A-SITUACION ANEXOS'!E96</f>
        <v>13312970302.690001</v>
      </c>
      <c r="E24" s="23">
        <f>C24-D24</f>
        <v>-657720566.93000031</v>
      </c>
      <c r="F24" s="418"/>
      <c r="G24" s="17"/>
      <c r="H24" s="20"/>
    </row>
    <row r="25" spans="1:8" x14ac:dyDescent="0.25">
      <c r="A25" s="1" t="s">
        <v>678</v>
      </c>
      <c r="B25" s="19">
        <v>7</v>
      </c>
      <c r="C25" s="23">
        <f>+'A-SITUACION ANEXOS'!D104</f>
        <v>1014656800</v>
      </c>
      <c r="D25" s="43">
        <f>+'A-SITUACION ANEXOS'!E104</f>
        <v>904656800</v>
      </c>
      <c r="E25" s="43">
        <f>C25-D25</f>
        <v>110000000</v>
      </c>
      <c r="G25" s="42"/>
      <c r="H25" s="20"/>
    </row>
    <row r="26" spans="1:8" x14ac:dyDescent="0.25">
      <c r="A26" s="1" t="s">
        <v>834</v>
      </c>
      <c r="B26" s="19">
        <v>8</v>
      </c>
      <c r="C26" s="24">
        <f>+'A-SITUACION ANEXOS'!D119</f>
        <v>22767106.529999997</v>
      </c>
      <c r="D26" s="421">
        <f>+'A-SITUACION ANEXOS'!E119</f>
        <v>23401780.689999998</v>
      </c>
      <c r="E26" s="421">
        <f>C26-D26</f>
        <v>-634674.16000000015</v>
      </c>
      <c r="F26" s="42"/>
      <c r="G26" s="20"/>
      <c r="H26" s="20"/>
    </row>
    <row r="27" spans="1:8" x14ac:dyDescent="0.25">
      <c r="A27" s="16" t="s">
        <v>115</v>
      </c>
      <c r="B27" s="19"/>
      <c r="C27" s="25">
        <f>SUM(C24:C26)</f>
        <v>13692673642.290001</v>
      </c>
      <c r="D27" s="72">
        <f>SUM(D24:D26)</f>
        <v>14241028883.380001</v>
      </c>
      <c r="E27" s="72">
        <f>SUM(E24:E26)</f>
        <v>-548355241.09000027</v>
      </c>
      <c r="F27" s="42"/>
      <c r="G27" s="20"/>
      <c r="H27" s="20"/>
    </row>
    <row r="28" spans="1:8" x14ac:dyDescent="0.25">
      <c r="B28" s="19"/>
      <c r="C28" s="17"/>
      <c r="D28" s="42"/>
      <c r="E28" s="42"/>
      <c r="F28" s="422"/>
      <c r="G28" s="20"/>
      <c r="H28" s="20"/>
    </row>
    <row r="29" spans="1:8" ht="22.15" customHeight="1" thickBot="1" x14ac:dyDescent="0.3">
      <c r="A29" s="16" t="s">
        <v>242</v>
      </c>
      <c r="B29" s="53"/>
      <c r="C29" s="26">
        <f>C21+C27</f>
        <v>16431062750.328335</v>
      </c>
      <c r="D29" s="423">
        <f>D21+D27</f>
        <v>16531192469.312502</v>
      </c>
      <c r="E29" s="423">
        <f>E21+E27</f>
        <v>-100129718.9841671</v>
      </c>
      <c r="F29" s="42"/>
      <c r="G29" s="42"/>
      <c r="H29" s="20"/>
    </row>
    <row r="30" spans="1:8" ht="17.25" customHeight="1" thickTop="1" x14ac:dyDescent="0.25">
      <c r="B30" s="19"/>
      <c r="C30" s="17"/>
      <c r="D30" s="42"/>
      <c r="E30" s="42"/>
      <c r="F30" s="42"/>
      <c r="G30" s="42"/>
      <c r="H30" s="20"/>
    </row>
    <row r="31" spans="1:8" x14ac:dyDescent="0.25">
      <c r="A31" s="16" t="s">
        <v>5</v>
      </c>
      <c r="B31" s="53"/>
      <c r="D31" s="42"/>
      <c r="E31" s="42"/>
      <c r="F31" s="42"/>
      <c r="G31" s="42"/>
      <c r="H31" s="20"/>
    </row>
    <row r="32" spans="1:8" x14ac:dyDescent="0.25">
      <c r="A32" s="298" t="s">
        <v>0</v>
      </c>
      <c r="B32" s="300"/>
      <c r="C32" s="17"/>
      <c r="D32" s="42"/>
      <c r="E32" s="42"/>
      <c r="F32" s="42"/>
      <c r="G32" s="42"/>
      <c r="H32" s="20"/>
    </row>
    <row r="33" spans="1:9" x14ac:dyDescent="0.25">
      <c r="A33" s="1" t="s">
        <v>648</v>
      </c>
      <c r="B33" s="19">
        <v>9</v>
      </c>
      <c r="C33" s="17">
        <f>+'A-SITUACION ANEXOS'!D131</f>
        <v>3966968.04</v>
      </c>
      <c r="D33" s="42">
        <f>+'A-SITUACION ANEXOS'!E131</f>
        <v>3792518.92</v>
      </c>
      <c r="E33" s="43">
        <f>+C33-D33</f>
        <v>174449.12000000011</v>
      </c>
      <c r="F33" s="422"/>
      <c r="G33" s="424"/>
      <c r="H33" s="55"/>
      <c r="I33" s="2"/>
    </row>
    <row r="34" spans="1:9" x14ac:dyDescent="0.25">
      <c r="A34" s="1" t="s">
        <v>649</v>
      </c>
      <c r="B34" s="19">
        <v>10</v>
      </c>
      <c r="C34" s="17">
        <f>+'A-SITUACION ANEXOS'!D138</f>
        <v>0</v>
      </c>
      <c r="D34" s="42">
        <f>+'A-SITUACION ANEXOS'!E138-0.01</f>
        <v>765374.30999999994</v>
      </c>
      <c r="E34" s="43">
        <f t="shared" ref="E34:E36" si="0">+C34-D34</f>
        <v>-765374.30999999994</v>
      </c>
      <c r="F34" s="422"/>
      <c r="G34" s="424"/>
      <c r="H34" s="55"/>
      <c r="I34" s="2"/>
    </row>
    <row r="35" spans="1:9" x14ac:dyDescent="0.25">
      <c r="A35" s="1" t="s">
        <v>616</v>
      </c>
      <c r="B35" s="19">
        <v>11</v>
      </c>
      <c r="C35" s="17">
        <f>+'A-SITUACION ANEXOS'!D148</f>
        <v>22365928.77</v>
      </c>
      <c r="D35" s="42">
        <f>+'A-SITUACION ANEXOS'!E148</f>
        <v>29063328.349999998</v>
      </c>
      <c r="E35" s="43">
        <f t="shared" si="0"/>
        <v>-6697399.5799999982</v>
      </c>
      <c r="F35" s="422"/>
      <c r="G35" s="424"/>
      <c r="H35" s="55"/>
      <c r="I35" s="2"/>
    </row>
    <row r="36" spans="1:9" x14ac:dyDescent="0.25">
      <c r="A36" s="1" t="s">
        <v>679</v>
      </c>
      <c r="B36" s="19">
        <v>12</v>
      </c>
      <c r="C36" s="42">
        <f>+'A-SITUACION ANEXOS'!D158</f>
        <v>4261208.72</v>
      </c>
      <c r="D36" s="42">
        <f>+'A-SITUACION ANEXOS'!E158</f>
        <v>2650373.2600000007</v>
      </c>
      <c r="E36" s="43">
        <f t="shared" si="0"/>
        <v>1610835.459999999</v>
      </c>
      <c r="F36" s="422"/>
      <c r="G36" s="424"/>
      <c r="H36" s="55"/>
      <c r="I36" s="2"/>
    </row>
    <row r="37" spans="1:9" x14ac:dyDescent="0.25">
      <c r="A37" s="1" t="s">
        <v>116</v>
      </c>
      <c r="B37" s="19">
        <v>13</v>
      </c>
      <c r="C37" s="24">
        <f>+'A-SITUACION ANEXOS'!D164</f>
        <v>84504303.310000002</v>
      </c>
      <c r="D37" s="421">
        <f>+'A-SITUACION ANEXOS'!E164</f>
        <v>101405163.98</v>
      </c>
      <c r="E37" s="421">
        <f>+C37-D37</f>
        <v>-16900860.670000002</v>
      </c>
      <c r="F37" s="422"/>
      <c r="G37" s="424"/>
      <c r="H37" s="55"/>
      <c r="I37" s="2"/>
    </row>
    <row r="38" spans="1:9" x14ac:dyDescent="0.25">
      <c r="A38" s="16" t="s">
        <v>117</v>
      </c>
      <c r="B38" s="53"/>
      <c r="C38" s="25">
        <f>SUM(C33:C37)-0</f>
        <v>115098408.84</v>
      </c>
      <c r="D38" s="72">
        <f>SUM(D33:D37)</f>
        <v>137676758.81999999</v>
      </c>
      <c r="E38" s="72">
        <f>SUM(E33:E37)</f>
        <v>-22578349.98</v>
      </c>
      <c r="F38" s="422"/>
      <c r="G38" s="42"/>
      <c r="H38" s="55"/>
      <c r="I38" s="2"/>
    </row>
    <row r="39" spans="1:9" x14ac:dyDescent="0.25">
      <c r="B39" s="19"/>
      <c r="C39" s="17"/>
      <c r="D39" s="42"/>
      <c r="E39" s="43"/>
      <c r="F39" s="422"/>
      <c r="G39" s="42"/>
      <c r="H39" s="55"/>
      <c r="I39" s="2"/>
    </row>
    <row r="40" spans="1:9" x14ac:dyDescent="0.25">
      <c r="B40" s="19"/>
      <c r="C40" s="17"/>
      <c r="D40" s="42"/>
      <c r="E40" s="43"/>
      <c r="F40" s="422"/>
      <c r="G40" s="42"/>
      <c r="H40" s="55"/>
      <c r="I40" s="2"/>
    </row>
    <row r="41" spans="1:9" x14ac:dyDescent="0.25">
      <c r="A41" s="16" t="s">
        <v>6</v>
      </c>
      <c r="B41" s="53"/>
      <c r="C41" s="25">
        <f>C38</f>
        <v>115098408.84</v>
      </c>
      <c r="D41" s="72">
        <f>D38</f>
        <v>137676758.81999999</v>
      </c>
      <c r="E41" s="72">
        <f>E38</f>
        <v>-22578349.98</v>
      </c>
      <c r="F41" s="422"/>
      <c r="G41" s="42"/>
      <c r="H41" s="55"/>
      <c r="I41" s="2"/>
    </row>
    <row r="42" spans="1:9" x14ac:dyDescent="0.25">
      <c r="B42" s="19"/>
      <c r="C42" s="17"/>
      <c r="D42" s="42"/>
      <c r="E42" s="42"/>
      <c r="F42" s="422"/>
      <c r="G42" s="1"/>
      <c r="H42" s="20"/>
    </row>
    <row r="43" spans="1:9" x14ac:dyDescent="0.25">
      <c r="A43" s="16" t="s">
        <v>7</v>
      </c>
      <c r="B43" s="53"/>
      <c r="C43" s="17"/>
      <c r="D43" s="42"/>
      <c r="E43" s="43"/>
      <c r="F43" s="422"/>
      <c r="G43" s="1"/>
      <c r="H43" s="20"/>
    </row>
    <row r="44" spans="1:9" x14ac:dyDescent="0.25">
      <c r="A44" s="1" t="s">
        <v>680</v>
      </c>
      <c r="B44" s="19">
        <v>14</v>
      </c>
      <c r="C44" s="17">
        <f>+'NOTA 14-CAPITAL'!F25</f>
        <v>16239082100</v>
      </c>
      <c r="D44" s="17">
        <f>+'NOTA 14-CAPITAL'!H25</f>
        <v>22197671812.260002</v>
      </c>
      <c r="E44" s="23">
        <f>+C44-D44</f>
        <v>-5958589712.2600021</v>
      </c>
      <c r="F44" s="422"/>
      <c r="G44" s="20"/>
      <c r="H44" s="20"/>
    </row>
    <row r="45" spans="1:9" x14ac:dyDescent="0.25">
      <c r="A45" s="1" t="s">
        <v>118</v>
      </c>
      <c r="B45" s="19"/>
      <c r="C45" s="2">
        <v>278849081.56</v>
      </c>
      <c r="D45" s="2">
        <v>-5679740630.6999998</v>
      </c>
      <c r="E45" s="2">
        <f>+C45-D45</f>
        <v>5958589712.2600002</v>
      </c>
      <c r="F45" s="422"/>
      <c r="G45" s="20"/>
      <c r="H45" s="20"/>
    </row>
    <row r="46" spans="1:9" x14ac:dyDescent="0.25">
      <c r="A46" s="1" t="s">
        <v>119</v>
      </c>
      <c r="B46" s="19"/>
      <c r="C46" s="24">
        <f>+'Estado de Resultados'!C37</f>
        <v>-201966840.07000005</v>
      </c>
      <c r="D46" s="24">
        <f>+'Estado de Resultados'!D37</f>
        <v>-124415471.07000002</v>
      </c>
      <c r="E46" s="24">
        <f>+C46-D46</f>
        <v>-77551369.00000003</v>
      </c>
      <c r="F46" s="422"/>
      <c r="G46" s="1"/>
      <c r="H46" s="20"/>
    </row>
    <row r="47" spans="1:9" x14ac:dyDescent="0.25">
      <c r="B47" s="19"/>
      <c r="C47" s="17"/>
      <c r="D47" s="17"/>
      <c r="E47" s="17"/>
      <c r="F47" s="418"/>
      <c r="G47" s="1"/>
      <c r="H47" s="20"/>
    </row>
    <row r="48" spans="1:9" x14ac:dyDescent="0.25">
      <c r="A48" s="16" t="s">
        <v>8</v>
      </c>
      <c r="B48" s="53"/>
      <c r="C48" s="25">
        <f>SUM(C44:C46)</f>
        <v>16315964341.49</v>
      </c>
      <c r="D48" s="25">
        <f>SUM(D44:D46)</f>
        <v>16393515710.490002</v>
      </c>
      <c r="E48" s="25">
        <f>SUM(E44:E46)</f>
        <v>-77551369.000001937</v>
      </c>
      <c r="F48" s="418"/>
      <c r="G48" s="20"/>
      <c r="H48" s="20"/>
      <c r="I48" s="20"/>
    </row>
    <row r="49" spans="1:13" ht="11.25" customHeight="1" x14ac:dyDescent="0.25">
      <c r="B49" s="19"/>
      <c r="C49" s="17"/>
      <c r="D49" s="17"/>
      <c r="E49" s="17"/>
      <c r="F49" s="418"/>
      <c r="G49" s="1"/>
      <c r="H49" s="20"/>
    </row>
    <row r="50" spans="1:13" ht="21" customHeight="1" thickBot="1" x14ac:dyDescent="0.3">
      <c r="A50" s="16" t="s">
        <v>241</v>
      </c>
      <c r="B50" s="53"/>
      <c r="C50" s="26">
        <f>+C41+C48</f>
        <v>16431062750.33</v>
      </c>
      <c r="D50" s="26">
        <f>+D41+D48</f>
        <v>16531192469.310001</v>
      </c>
      <c r="E50" s="26">
        <f>+E41+E48-0.01</f>
        <v>-100129718.99000195</v>
      </c>
      <c r="F50" s="418"/>
      <c r="G50" s="20"/>
      <c r="H50" s="20"/>
    </row>
    <row r="51" spans="1:13" ht="16.5" thickTop="1" x14ac:dyDescent="0.25">
      <c r="B51" s="28"/>
      <c r="C51" s="411">
        <f>+C29-C50</f>
        <v>-1.6651153564453125E-3</v>
      </c>
      <c r="D51" s="411">
        <f>+D29-D50</f>
        <v>2.5005340576171875E-3</v>
      </c>
      <c r="E51" s="411">
        <f>+E29-E50</f>
        <v>5.8348476886749268E-3</v>
      </c>
      <c r="F51" s="418"/>
      <c r="G51" s="1"/>
      <c r="H51" s="20"/>
      <c r="M51" s="17"/>
    </row>
    <row r="52" spans="1:13" x14ac:dyDescent="0.25">
      <c r="B52" s="19"/>
      <c r="C52" s="446"/>
      <c r="D52" s="410"/>
      <c r="E52" s="410"/>
      <c r="F52" s="418"/>
      <c r="G52" s="1"/>
      <c r="H52" s="20"/>
      <c r="M52" s="2"/>
    </row>
    <row r="53" spans="1:13" x14ac:dyDescent="0.25">
      <c r="B53" s="19"/>
      <c r="C53" s="31"/>
      <c r="F53" s="418"/>
      <c r="G53" s="1"/>
      <c r="M53" s="2"/>
    </row>
    <row r="54" spans="1:13" x14ac:dyDescent="0.25">
      <c r="A54" s="27"/>
      <c r="B54" s="394"/>
      <c r="C54" s="417"/>
      <c r="F54" s="418"/>
      <c r="G54" s="1"/>
      <c r="M54" s="2"/>
    </row>
    <row r="55" spans="1:13" ht="15" customHeight="1" x14ac:dyDescent="0.25">
      <c r="A55" s="27"/>
      <c r="B55" s="27"/>
      <c r="G55" s="1"/>
      <c r="M55" s="2"/>
    </row>
    <row r="56" spans="1:13" s="16" customFormat="1" x14ac:dyDescent="0.25">
      <c r="A56" s="268" t="s">
        <v>151</v>
      </c>
      <c r="C56" s="56"/>
      <c r="D56" s="486" t="s">
        <v>11</v>
      </c>
      <c r="E56" s="486"/>
      <c r="F56" s="56"/>
      <c r="H56" s="56"/>
      <c r="M56" s="56"/>
    </row>
    <row r="57" spans="1:13" x14ac:dyDescent="0.25">
      <c r="A57" s="28" t="s">
        <v>216</v>
      </c>
      <c r="B57" s="27"/>
      <c r="D57" s="479" t="s">
        <v>12</v>
      </c>
      <c r="E57" s="479"/>
      <c r="G57" s="1"/>
      <c r="H57" s="2"/>
    </row>
    <row r="58" spans="1:13" x14ac:dyDescent="0.25">
      <c r="A58" s="28"/>
      <c r="B58" s="27"/>
      <c r="G58" s="1"/>
      <c r="H58" s="2"/>
      <c r="M58" s="2"/>
    </row>
    <row r="59" spans="1:13" ht="16.5" customHeight="1" x14ac:dyDescent="0.25">
      <c r="A59" s="27"/>
      <c r="B59" s="27"/>
      <c r="G59" s="1"/>
      <c r="M59" s="20"/>
    </row>
    <row r="60" spans="1:13" ht="16.5" customHeight="1" x14ac:dyDescent="0.25">
      <c r="A60" s="27"/>
      <c r="B60" s="27"/>
      <c r="G60" s="1"/>
      <c r="M60" s="20"/>
    </row>
    <row r="61" spans="1:13" ht="17.25" customHeight="1" x14ac:dyDescent="0.25">
      <c r="G61" s="1"/>
      <c r="M61" s="20"/>
    </row>
    <row r="62" spans="1:13" s="16" customFormat="1" x14ac:dyDescent="0.25">
      <c r="A62" s="484" t="s">
        <v>127</v>
      </c>
      <c r="B62" s="484"/>
      <c r="C62" s="484"/>
      <c r="D62" s="484"/>
      <c r="E62" s="484"/>
      <c r="F62" s="56"/>
    </row>
    <row r="63" spans="1:13" x14ac:dyDescent="0.25">
      <c r="A63" s="485" t="s">
        <v>128</v>
      </c>
      <c r="B63" s="485"/>
      <c r="C63" s="485"/>
      <c r="D63" s="485"/>
      <c r="E63" s="485"/>
      <c r="G63" s="1"/>
    </row>
    <row r="64" spans="1:13" x14ac:dyDescent="0.25">
      <c r="G64" s="1"/>
    </row>
    <row r="65" spans="3:7" x14ac:dyDescent="0.25">
      <c r="G65" s="1"/>
    </row>
    <row r="66" spans="3:7" x14ac:dyDescent="0.25">
      <c r="G66" s="1"/>
    </row>
    <row r="67" spans="3:7" x14ac:dyDescent="0.25">
      <c r="G67" s="1"/>
    </row>
    <row r="68" spans="3:7" x14ac:dyDescent="0.25">
      <c r="G68" s="1"/>
    </row>
    <row r="69" spans="3:7" x14ac:dyDescent="0.25">
      <c r="G69" s="1"/>
    </row>
    <row r="70" spans="3:7" x14ac:dyDescent="0.25">
      <c r="C70" s="1"/>
      <c r="D70" s="479"/>
      <c r="E70" s="479"/>
      <c r="F70" s="479"/>
      <c r="G70" s="479"/>
    </row>
    <row r="71" spans="3:7" x14ac:dyDescent="0.25">
      <c r="C71" s="1"/>
      <c r="G71" s="1"/>
    </row>
    <row r="72" spans="3:7" x14ac:dyDescent="0.25">
      <c r="C72" s="29"/>
      <c r="D72" s="30"/>
      <c r="F72" s="30"/>
      <c r="G72" s="2"/>
    </row>
    <row r="73" spans="3:7" x14ac:dyDescent="0.25">
      <c r="C73" s="29"/>
      <c r="D73" s="30"/>
      <c r="F73" s="30"/>
      <c r="G73" s="2"/>
    </row>
    <row r="74" spans="3:7" x14ac:dyDescent="0.25">
      <c r="C74" s="29"/>
      <c r="D74" s="30"/>
      <c r="F74" s="30"/>
      <c r="G74" s="2"/>
    </row>
    <row r="75" spans="3:7" x14ac:dyDescent="0.25">
      <c r="C75" s="29"/>
      <c r="D75" s="30"/>
      <c r="F75" s="30"/>
      <c r="G75" s="2"/>
    </row>
    <row r="76" spans="3:7" x14ac:dyDescent="0.25">
      <c r="C76" s="29"/>
      <c r="D76" s="30"/>
      <c r="F76" s="30"/>
      <c r="G76" s="2"/>
    </row>
    <row r="77" spans="3:7" x14ac:dyDescent="0.25">
      <c r="C77" s="29"/>
      <c r="D77" s="30"/>
      <c r="F77" s="30"/>
      <c r="G77" s="2"/>
    </row>
    <row r="78" spans="3:7" x14ac:dyDescent="0.25">
      <c r="C78" s="29"/>
      <c r="D78" s="30"/>
      <c r="F78" s="30"/>
      <c r="G78" s="2"/>
    </row>
    <row r="79" spans="3:7" x14ac:dyDescent="0.25">
      <c r="C79" s="29"/>
      <c r="G79" s="2"/>
    </row>
    <row r="80" spans="3:7" x14ac:dyDescent="0.25">
      <c r="C80" s="32"/>
      <c r="G80" s="1"/>
    </row>
    <row r="81" spans="3:7" x14ac:dyDescent="0.25">
      <c r="C81" s="32"/>
      <c r="G81" s="1"/>
    </row>
    <row r="83" spans="3:7" x14ac:dyDescent="0.25">
      <c r="C83" s="33"/>
    </row>
    <row r="84" spans="3:7" x14ac:dyDescent="0.25">
      <c r="C84" s="33"/>
    </row>
    <row r="85" spans="3:7" x14ac:dyDescent="0.25">
      <c r="C85" s="33"/>
    </row>
    <row r="86" spans="3:7" x14ac:dyDescent="0.25">
      <c r="C86" s="33"/>
    </row>
    <row r="87" spans="3:7" x14ac:dyDescent="0.25">
      <c r="C87" s="33"/>
    </row>
    <row r="88" spans="3:7" x14ac:dyDescent="0.25">
      <c r="C88" s="33"/>
    </row>
    <row r="89" spans="3:7" x14ac:dyDescent="0.25">
      <c r="C89" s="33"/>
    </row>
  </sheetData>
  <mergeCells count="10">
    <mergeCell ref="D70:E70"/>
    <mergeCell ref="F70:G70"/>
    <mergeCell ref="A7:E7"/>
    <mergeCell ref="A8:E8"/>
    <mergeCell ref="A9:E9"/>
    <mergeCell ref="A10:E10"/>
    <mergeCell ref="A62:E62"/>
    <mergeCell ref="A63:E63"/>
    <mergeCell ref="D57:E57"/>
    <mergeCell ref="D56:E56"/>
  </mergeCells>
  <phoneticPr fontId="32" type="noConversion"/>
  <printOptions horizontalCentered="1"/>
  <pageMargins left="0.86614173228346458" right="0.86614173228346458" top="0.39370078740157483" bottom="0.19685039370078741" header="0" footer="0"/>
  <pageSetup scale="6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4"/>
  <sheetViews>
    <sheetView zoomScale="110" zoomScaleNormal="110" workbookViewId="0">
      <selection activeCell="D13" sqref="D13"/>
    </sheetView>
  </sheetViews>
  <sheetFormatPr baseColWidth="10" defaultColWidth="11.5703125" defaultRowHeight="24.75" customHeight="1" x14ac:dyDescent="0.25"/>
  <cols>
    <col min="1" max="1" width="4.7109375" style="131" customWidth="1"/>
    <col min="2" max="2" width="14.28515625" style="131" customWidth="1"/>
    <col min="3" max="3" width="16.28515625" style="131" customWidth="1"/>
    <col min="4" max="4" width="45.140625" style="131" bestFit="1" customWidth="1"/>
    <col min="5" max="5" width="18.5703125" style="131" bestFit="1" customWidth="1"/>
    <col min="6" max="6" width="16.42578125" style="131" bestFit="1" customWidth="1"/>
    <col min="7" max="7" width="3.28515625" style="131" customWidth="1"/>
    <col min="8" max="8" width="13.42578125" style="131" customWidth="1"/>
    <col min="9" max="9" width="14.5703125" style="131" bestFit="1" customWidth="1"/>
    <col min="10" max="16384" width="11.5703125" style="131"/>
  </cols>
  <sheetData>
    <row r="1" spans="1:6" ht="24.75" customHeight="1" x14ac:dyDescent="0.25">
      <c r="A1" s="1"/>
      <c r="B1" s="1"/>
      <c r="C1" s="1"/>
      <c r="D1" s="1"/>
      <c r="E1" s="2"/>
      <c r="F1" s="1"/>
    </row>
    <row r="2" spans="1:6" ht="24.75" customHeight="1" x14ac:dyDescent="0.25">
      <c r="A2" s="1"/>
      <c r="B2" s="484"/>
      <c r="C2" s="484"/>
      <c r="D2" s="484"/>
      <c r="E2" s="484"/>
      <c r="F2" s="484"/>
    </row>
    <row r="3" spans="1:6" ht="24.75" customHeight="1" x14ac:dyDescent="0.25">
      <c r="A3" s="1"/>
      <c r="B3" s="484" t="s">
        <v>176</v>
      </c>
      <c r="C3" s="484"/>
      <c r="D3" s="484"/>
      <c r="E3" s="484"/>
      <c r="F3" s="484"/>
    </row>
    <row r="4" spans="1:6" ht="24.75" customHeight="1" x14ac:dyDescent="0.25">
      <c r="A4" s="1"/>
      <c r="B4" s="484" t="s">
        <v>170</v>
      </c>
      <c r="C4" s="484"/>
      <c r="D4" s="484"/>
      <c r="E4" s="484"/>
      <c r="F4" s="484"/>
    </row>
    <row r="5" spans="1:6" ht="24.75" customHeight="1" x14ac:dyDescent="0.25">
      <c r="A5" s="1"/>
      <c r="B5" s="484" t="s">
        <v>179</v>
      </c>
      <c r="C5" s="484"/>
      <c r="D5" s="484"/>
      <c r="E5" s="484"/>
      <c r="F5" s="484"/>
    </row>
    <row r="6" spans="1:6" ht="24.75" customHeight="1" x14ac:dyDescent="0.25">
      <c r="A6" s="1"/>
      <c r="B6" s="496">
        <v>45504</v>
      </c>
      <c r="C6" s="496"/>
      <c r="D6" s="496"/>
      <c r="E6" s="496"/>
      <c r="F6" s="496"/>
    </row>
    <row r="7" spans="1:6" ht="24.75" customHeight="1" thickBot="1" x14ac:dyDescent="0.3">
      <c r="A7" s="1"/>
      <c r="B7" s="1"/>
      <c r="C7" s="1"/>
      <c r="D7" s="53"/>
      <c r="E7" s="53"/>
      <c r="F7" s="1"/>
    </row>
    <row r="8" spans="1:6" ht="24.75" customHeight="1" thickBot="1" x14ac:dyDescent="0.3">
      <c r="A8" s="1"/>
      <c r="B8" s="132" t="s">
        <v>131</v>
      </c>
      <c r="C8" s="133" t="s">
        <v>312</v>
      </c>
      <c r="D8" s="77" t="s">
        <v>132</v>
      </c>
      <c r="E8" s="77" t="s">
        <v>133</v>
      </c>
      <c r="F8" s="78" t="s">
        <v>178</v>
      </c>
    </row>
    <row r="9" spans="1:6" ht="24.75" customHeight="1" x14ac:dyDescent="0.25">
      <c r="A9" s="1"/>
      <c r="B9" s="134">
        <v>44042</v>
      </c>
      <c r="C9" s="135">
        <v>36759</v>
      </c>
      <c r="D9" s="65" t="s">
        <v>264</v>
      </c>
      <c r="E9" s="121">
        <v>320878.34000000003</v>
      </c>
      <c r="F9" s="135" t="s">
        <v>152</v>
      </c>
    </row>
    <row r="10" spans="1:6" ht="24.75" customHeight="1" x14ac:dyDescent="0.25">
      <c r="A10" s="1"/>
      <c r="B10" s="136">
        <v>44042</v>
      </c>
      <c r="C10" s="137">
        <v>36760</v>
      </c>
      <c r="D10" s="65" t="s">
        <v>264</v>
      </c>
      <c r="E10" s="95">
        <v>320878.34000000003</v>
      </c>
      <c r="F10" s="137" t="s">
        <v>152</v>
      </c>
    </row>
    <row r="11" spans="1:6" ht="24.75" customHeight="1" x14ac:dyDescent="0.25">
      <c r="A11" s="1"/>
      <c r="B11" s="136">
        <v>44042</v>
      </c>
      <c r="C11" s="137">
        <v>36762</v>
      </c>
      <c r="D11" s="65" t="s">
        <v>264</v>
      </c>
      <c r="E11" s="95">
        <v>261614.87</v>
      </c>
      <c r="F11" s="137" t="s">
        <v>152</v>
      </c>
    </row>
    <row r="12" spans="1:6" ht="24.75" customHeight="1" x14ac:dyDescent="0.25">
      <c r="A12" s="1"/>
      <c r="B12" s="136">
        <v>44042</v>
      </c>
      <c r="C12" s="137">
        <v>36763</v>
      </c>
      <c r="D12" s="65" t="s">
        <v>264</v>
      </c>
      <c r="E12" s="95">
        <v>636759.86</v>
      </c>
      <c r="F12" s="137" t="s">
        <v>152</v>
      </c>
    </row>
    <row r="13" spans="1:6" ht="24.75" customHeight="1" x14ac:dyDescent="0.25">
      <c r="A13" s="1"/>
      <c r="B13" s="136">
        <v>44042</v>
      </c>
      <c r="C13" s="137">
        <v>36765</v>
      </c>
      <c r="D13" s="65" t="s">
        <v>264</v>
      </c>
      <c r="E13" s="95">
        <v>636759.86</v>
      </c>
      <c r="F13" s="137" t="s">
        <v>152</v>
      </c>
    </row>
    <row r="14" spans="1:6" ht="24.75" customHeight="1" x14ac:dyDescent="0.25">
      <c r="A14" s="1"/>
      <c r="B14" s="136">
        <v>44042</v>
      </c>
      <c r="C14" s="137">
        <v>36766</v>
      </c>
      <c r="D14" s="65" t="s">
        <v>264</v>
      </c>
      <c r="E14" s="95">
        <v>282294.27</v>
      </c>
      <c r="F14" s="137" t="s">
        <v>152</v>
      </c>
    </row>
    <row r="15" spans="1:6" ht="24.75" customHeight="1" x14ac:dyDescent="0.25">
      <c r="A15" s="1"/>
      <c r="B15" s="136">
        <v>44894</v>
      </c>
      <c r="C15" s="137">
        <v>38855</v>
      </c>
      <c r="D15" s="65" t="s">
        <v>269</v>
      </c>
      <c r="E15" s="95">
        <v>5149638</v>
      </c>
      <c r="F15" s="137" t="s">
        <v>152</v>
      </c>
    </row>
    <row r="16" spans="1:6" ht="22.5" hidden="1" customHeight="1" x14ac:dyDescent="0.25">
      <c r="A16" s="1"/>
      <c r="B16" s="136">
        <v>45043</v>
      </c>
      <c r="C16" s="137">
        <v>39088</v>
      </c>
      <c r="D16" s="65" t="s">
        <v>331</v>
      </c>
      <c r="E16" s="95"/>
      <c r="F16" s="137" t="s">
        <v>152</v>
      </c>
    </row>
    <row r="17" spans="1:9" ht="22.5" customHeight="1" x14ac:dyDescent="0.25">
      <c r="A17" s="1"/>
      <c r="B17" s="136">
        <v>45049</v>
      </c>
      <c r="C17" s="137">
        <v>39106</v>
      </c>
      <c r="D17" s="65" t="s">
        <v>269</v>
      </c>
      <c r="E17" s="95">
        <v>7724457</v>
      </c>
      <c r="F17" s="137" t="s">
        <v>152</v>
      </c>
    </row>
    <row r="18" spans="1:9" ht="24.75" customHeight="1" x14ac:dyDescent="0.4">
      <c r="A18" s="1"/>
      <c r="B18" s="136">
        <v>45460</v>
      </c>
      <c r="C18" s="137">
        <v>39752</v>
      </c>
      <c r="D18" s="65" t="s">
        <v>798</v>
      </c>
      <c r="E18" s="130">
        <v>330400</v>
      </c>
      <c r="F18" s="137" t="s">
        <v>152</v>
      </c>
    </row>
    <row r="19" spans="1:9" ht="24.75" hidden="1" customHeight="1" x14ac:dyDescent="0.25">
      <c r="A19" s="1"/>
      <c r="B19" s="136">
        <v>45147</v>
      </c>
      <c r="C19" s="137">
        <v>39239</v>
      </c>
      <c r="D19" s="65" t="s">
        <v>419</v>
      </c>
      <c r="E19" s="95">
        <v>0</v>
      </c>
      <c r="F19" s="137" t="s">
        <v>152</v>
      </c>
      <c r="H19" s="141"/>
    </row>
    <row r="20" spans="1:9" ht="24.75" hidden="1" customHeight="1" x14ac:dyDescent="0.4">
      <c r="A20" s="1"/>
      <c r="B20" s="136">
        <v>45440</v>
      </c>
      <c r="C20" s="137">
        <v>31983</v>
      </c>
      <c r="D20" s="65" t="s">
        <v>331</v>
      </c>
      <c r="E20" s="130"/>
      <c r="F20" s="137" t="s">
        <v>152</v>
      </c>
      <c r="H20" s="141"/>
    </row>
    <row r="21" spans="1:9" ht="24.75" customHeight="1" x14ac:dyDescent="0.4">
      <c r="A21" s="1"/>
      <c r="B21" s="127"/>
      <c r="C21" s="127"/>
      <c r="D21" s="139" t="s">
        <v>126</v>
      </c>
      <c r="E21" s="140">
        <f>SUM(E9:E20)</f>
        <v>15663680.539999999</v>
      </c>
      <c r="F21" s="127"/>
      <c r="H21" s="141"/>
    </row>
    <row r="22" spans="1:9" ht="6.75" customHeight="1" x14ac:dyDescent="0.25">
      <c r="A22" s="1"/>
      <c r="B22" s="127"/>
      <c r="C22" s="127"/>
      <c r="D22" s="127"/>
      <c r="E22" s="95"/>
      <c r="F22" s="127"/>
      <c r="H22" s="142"/>
      <c r="I22" s="138">
        <f>+E20+E16</f>
        <v>0</v>
      </c>
    </row>
    <row r="23" spans="1:9" ht="24.75" customHeight="1" x14ac:dyDescent="0.25">
      <c r="A23" s="1"/>
      <c r="B23" s="1"/>
      <c r="C23" s="1"/>
      <c r="D23" s="16"/>
      <c r="E23" s="391">
        <v>15663680.539999999</v>
      </c>
      <c r="F23" s="33"/>
      <c r="H23" s="142"/>
    </row>
    <row r="24" spans="1:9" ht="24.75" customHeight="1" x14ac:dyDescent="0.25">
      <c r="A24" s="1"/>
      <c r="B24" s="1"/>
      <c r="C24" s="1"/>
      <c r="D24" s="143" t="s">
        <v>347</v>
      </c>
      <c r="E24" s="141">
        <f>+E21-E23</f>
        <v>0</v>
      </c>
      <c r="F24" s="1"/>
    </row>
  </sheetData>
  <mergeCells count="5">
    <mergeCell ref="B2:F2"/>
    <mergeCell ref="B3:F3"/>
    <mergeCell ref="B4:F4"/>
    <mergeCell ref="B5:F5"/>
    <mergeCell ref="B6:F6"/>
  </mergeCells>
  <phoneticPr fontId="41" type="noConversion"/>
  <pageMargins left="0.70866141732283472" right="0.70866141732283472" top="0.74803149606299213" bottom="0.74803149606299213" header="0.31496062992125984" footer="0.31496062992125984"/>
  <pageSetup scale="8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4:C11"/>
  <sheetViews>
    <sheetView topLeftCell="A4" workbookViewId="0">
      <selection activeCell="D13" sqref="D13"/>
    </sheetView>
  </sheetViews>
  <sheetFormatPr baseColWidth="10" defaultRowHeight="24.75" customHeight="1" x14ac:dyDescent="0.2"/>
  <cols>
    <col min="1" max="1" width="5.140625" style="142" customWidth="1"/>
    <col min="2" max="2" width="52" style="142" customWidth="1"/>
    <col min="3" max="3" width="25" style="142" customWidth="1"/>
    <col min="4" max="4" width="24.5703125" style="142" customWidth="1"/>
    <col min="5" max="16384" width="11.42578125" style="142"/>
  </cols>
  <sheetData>
    <row r="4" spans="2:3" ht="24.75" customHeight="1" x14ac:dyDescent="0.25">
      <c r="B4" s="484" t="s">
        <v>176</v>
      </c>
      <c r="C4" s="484"/>
    </row>
    <row r="5" spans="2:3" ht="24.75" customHeight="1" x14ac:dyDescent="0.25">
      <c r="B5" s="484" t="s">
        <v>170</v>
      </c>
      <c r="C5" s="484"/>
    </row>
    <row r="6" spans="2:3" ht="24.75" customHeight="1" x14ac:dyDescent="0.25">
      <c r="B6" s="484" t="s">
        <v>180</v>
      </c>
      <c r="C6" s="484"/>
    </row>
    <row r="7" spans="2:3" ht="24.75" customHeight="1" x14ac:dyDescent="0.25">
      <c r="B7" s="496">
        <v>45504</v>
      </c>
      <c r="C7" s="496"/>
    </row>
    <row r="8" spans="2:3" ht="24.75" customHeight="1" thickBot="1" x14ac:dyDescent="0.3">
      <c r="B8" s="1"/>
      <c r="C8" s="1"/>
    </row>
    <row r="9" spans="2:3" ht="24.75" customHeight="1" x14ac:dyDescent="0.25">
      <c r="B9" s="436" t="s">
        <v>183</v>
      </c>
      <c r="C9" s="169" t="s">
        <v>156</v>
      </c>
    </row>
    <row r="10" spans="2:3" ht="24.75" customHeight="1" x14ac:dyDescent="0.3">
      <c r="B10" s="437" t="s">
        <v>784</v>
      </c>
      <c r="C10" s="438">
        <v>0</v>
      </c>
    </row>
    <row r="11" spans="2:3" ht="24.75" customHeight="1" thickBot="1" x14ac:dyDescent="0.35">
      <c r="B11" s="144" t="s">
        <v>169</v>
      </c>
      <c r="C11" s="145">
        <f>SUM(C10:C10)</f>
        <v>0</v>
      </c>
    </row>
  </sheetData>
  <mergeCells count="4">
    <mergeCell ref="B4:C4"/>
    <mergeCell ref="B5:C5"/>
    <mergeCell ref="B6:C6"/>
    <mergeCell ref="B7:C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20"/>
  <sheetViews>
    <sheetView workbookViewId="0">
      <selection activeCell="D13" sqref="D13"/>
    </sheetView>
  </sheetViews>
  <sheetFormatPr baseColWidth="10" defaultRowHeight="24.75" customHeight="1" x14ac:dyDescent="0.2"/>
  <cols>
    <col min="1" max="1" width="6.140625" style="142" customWidth="1"/>
    <col min="2" max="2" width="35.28515625" style="142" customWidth="1"/>
    <col min="3" max="3" width="17" style="142" hidden="1" customWidth="1"/>
    <col min="4" max="4" width="18.42578125" style="142" hidden="1" customWidth="1"/>
    <col min="5" max="5" width="19.5703125" style="142" customWidth="1"/>
    <col min="6" max="6" width="13.85546875" style="142" customWidth="1"/>
    <col min="7" max="7" width="18" style="142" customWidth="1"/>
    <col min="8" max="8" width="24.28515625" style="142" customWidth="1"/>
    <col min="9" max="9" width="16.42578125" style="142" customWidth="1"/>
    <col min="10" max="16384" width="11.42578125" style="142"/>
  </cols>
  <sheetData>
    <row r="1" spans="1:9" ht="24.7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24.75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4.75" customHeight="1" x14ac:dyDescent="0.25">
      <c r="A3" s="505" t="s">
        <v>176</v>
      </c>
      <c r="B3" s="505"/>
      <c r="C3" s="505"/>
      <c r="D3" s="505"/>
      <c r="E3" s="505"/>
      <c r="F3" s="505"/>
      <c r="G3" s="505"/>
      <c r="H3" s="505"/>
      <c r="I3" s="505"/>
    </row>
    <row r="4" spans="1:9" ht="24.75" customHeight="1" x14ac:dyDescent="0.25">
      <c r="A4" s="505" t="s">
        <v>282</v>
      </c>
      <c r="B4" s="505"/>
      <c r="C4" s="505"/>
      <c r="D4" s="505"/>
      <c r="E4" s="505"/>
      <c r="F4" s="505"/>
      <c r="G4" s="505"/>
      <c r="H4" s="505"/>
      <c r="I4" s="505"/>
    </row>
    <row r="5" spans="1:9" ht="24.75" customHeight="1" x14ac:dyDescent="0.25">
      <c r="A5" s="505" t="s">
        <v>283</v>
      </c>
      <c r="B5" s="505"/>
      <c r="C5" s="505"/>
      <c r="D5" s="505"/>
      <c r="E5" s="505"/>
      <c r="F5" s="505"/>
      <c r="G5" s="505"/>
      <c r="H5" s="505"/>
      <c r="I5" s="505"/>
    </row>
    <row r="6" spans="1:9" ht="24.75" customHeight="1" x14ac:dyDescent="0.25">
      <c r="A6" s="506">
        <v>45504</v>
      </c>
      <c r="B6" s="506"/>
      <c r="C6" s="506"/>
      <c r="D6" s="506"/>
      <c r="E6" s="506"/>
      <c r="F6" s="506"/>
      <c r="G6" s="506"/>
      <c r="H6" s="506"/>
      <c r="I6" s="506"/>
    </row>
    <row r="7" spans="1:9" ht="24.75" customHeight="1" thickBot="1" x14ac:dyDescent="0.3">
      <c r="A7" s="71"/>
      <c r="B7" s="146"/>
      <c r="C7" s="71"/>
      <c r="D7" s="71"/>
      <c r="E7" s="71"/>
      <c r="F7" s="71"/>
      <c r="G7" s="71"/>
      <c r="H7" s="71"/>
      <c r="I7" s="71"/>
    </row>
    <row r="8" spans="1:9" ht="48" thickBot="1" x14ac:dyDescent="0.25">
      <c r="A8" s="147" t="s">
        <v>284</v>
      </c>
      <c r="B8" s="148" t="s">
        <v>285</v>
      </c>
      <c r="C8" s="148" t="s">
        <v>286</v>
      </c>
      <c r="D8" s="148" t="s">
        <v>287</v>
      </c>
      <c r="E8" s="149" t="s">
        <v>288</v>
      </c>
      <c r="F8" s="149" t="s">
        <v>305</v>
      </c>
      <c r="G8" s="149" t="s">
        <v>289</v>
      </c>
      <c r="H8" s="149" t="s">
        <v>309</v>
      </c>
      <c r="I8" s="150" t="s">
        <v>290</v>
      </c>
    </row>
    <row r="9" spans="1:9" s="1" customFormat="1" ht="25.5" customHeight="1" x14ac:dyDescent="0.4">
      <c r="A9" s="151">
        <v>1</v>
      </c>
      <c r="B9" s="152" t="s">
        <v>541</v>
      </c>
      <c r="C9" s="153" t="s">
        <v>292</v>
      </c>
      <c r="D9" s="152" t="s">
        <v>293</v>
      </c>
      <c r="E9" s="154">
        <v>78795</v>
      </c>
      <c r="F9" s="153">
        <v>10</v>
      </c>
      <c r="G9" s="154">
        <f>E9/F9</f>
        <v>7879.5</v>
      </c>
      <c r="H9" s="154">
        <f>+G9*7</f>
        <v>55156.5</v>
      </c>
      <c r="I9" s="155">
        <f>+E9-H9</f>
        <v>23638.5</v>
      </c>
    </row>
    <row r="10" spans="1:9" s="1" customFormat="1" ht="25.5" customHeight="1" x14ac:dyDescent="0.4">
      <c r="A10" s="94"/>
      <c r="B10" s="156" t="s">
        <v>126</v>
      </c>
      <c r="C10" s="152"/>
      <c r="D10" s="152"/>
      <c r="E10" s="157">
        <f>SUM(E9:E9)</f>
        <v>78795</v>
      </c>
      <c r="F10" s="158"/>
      <c r="G10" s="157">
        <f>SUM(G9:G9)</f>
        <v>7879.5</v>
      </c>
      <c r="H10" s="157">
        <f>SUM(H9:H9)</f>
        <v>55156.5</v>
      </c>
      <c r="I10" s="159">
        <f>SUM(I9:I9)</f>
        <v>23638.5</v>
      </c>
    </row>
    <row r="11" spans="1:9" s="1" customFormat="1" ht="25.5" customHeight="1" thickBot="1" x14ac:dyDescent="0.45">
      <c r="A11" s="160"/>
      <c r="B11" s="161"/>
      <c r="C11" s="162"/>
      <c r="D11" s="163"/>
      <c r="E11" s="164"/>
      <c r="F11" s="165"/>
      <c r="G11" s="164"/>
      <c r="H11" s="164"/>
      <c r="I11" s="166"/>
    </row>
    <row r="12" spans="1:9" ht="24.75" customHeight="1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ht="24.75" customHeight="1" x14ac:dyDescent="0.2">
      <c r="G13" s="167"/>
      <c r="H13" s="167"/>
    </row>
    <row r="14" spans="1:9" ht="24.75" customHeight="1" x14ac:dyDescent="0.2">
      <c r="F14" s="167"/>
    </row>
    <row r="15" spans="1:9" ht="24.75" customHeight="1" x14ac:dyDescent="0.2">
      <c r="F15" s="167"/>
      <c r="I15" s="167"/>
    </row>
    <row r="16" spans="1:9" ht="24.75" customHeight="1" x14ac:dyDescent="0.2">
      <c r="F16" s="167"/>
    </row>
    <row r="17" spans="6:6" ht="24.75" customHeight="1" x14ac:dyDescent="0.2">
      <c r="F17" s="167"/>
    </row>
    <row r="18" spans="6:6" ht="24.75" customHeight="1" x14ac:dyDescent="0.2">
      <c r="F18" s="167"/>
    </row>
    <row r="19" spans="6:6" ht="24.75" customHeight="1" x14ac:dyDescent="0.2">
      <c r="F19" s="167"/>
    </row>
    <row r="20" spans="6:6" ht="24.75" customHeight="1" x14ac:dyDescent="0.2">
      <c r="F20" s="167"/>
    </row>
  </sheetData>
  <mergeCells count="4">
    <mergeCell ref="A3:I3"/>
    <mergeCell ref="A4:I4"/>
    <mergeCell ref="A5:I5"/>
    <mergeCell ref="A6:I6"/>
  </mergeCells>
  <pageMargins left="0.5118110236220472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4:E19"/>
  <sheetViews>
    <sheetView topLeftCell="A3" zoomScaleNormal="100" workbookViewId="0">
      <selection activeCell="D13" sqref="D13"/>
    </sheetView>
  </sheetViews>
  <sheetFormatPr baseColWidth="10" defaultColWidth="9.140625" defaultRowHeight="24.75" customHeight="1" x14ac:dyDescent="0.25"/>
  <cols>
    <col min="1" max="1" width="24.42578125" style="1" customWidth="1"/>
    <col min="2" max="2" width="39" style="1" customWidth="1"/>
    <col min="3" max="3" width="22.42578125" style="1" customWidth="1"/>
    <col min="4" max="4" width="15.7109375" style="1" bestFit="1" customWidth="1"/>
    <col min="5" max="5" width="15.85546875" style="1" customWidth="1"/>
    <col min="6" max="9" width="9.140625" style="1"/>
    <col min="10" max="10" width="13.5703125" style="1" customWidth="1"/>
    <col min="11" max="11" width="9.140625" style="1"/>
    <col min="12" max="12" width="15.5703125" style="1" bestFit="1" customWidth="1"/>
    <col min="13" max="16384" width="9.140625" style="1"/>
  </cols>
  <sheetData>
    <row r="4" spans="2:5" ht="24.75" customHeight="1" x14ac:dyDescent="0.25">
      <c r="B4" s="484" t="s">
        <v>176</v>
      </c>
      <c r="C4" s="484"/>
    </row>
    <row r="5" spans="2:5" ht="24.75" customHeight="1" x14ac:dyDescent="0.25">
      <c r="B5" s="484" t="s">
        <v>170</v>
      </c>
      <c r="C5" s="484"/>
    </row>
    <row r="6" spans="2:5" ht="24.75" customHeight="1" x14ac:dyDescent="0.25">
      <c r="B6" s="484" t="s">
        <v>180</v>
      </c>
      <c r="C6" s="484"/>
    </row>
    <row r="7" spans="2:5" ht="24.75" customHeight="1" x14ac:dyDescent="0.25">
      <c r="B7" s="496">
        <v>45504</v>
      </c>
      <c r="C7" s="496"/>
      <c r="D7" s="55"/>
    </row>
    <row r="8" spans="2:5" ht="24.75" customHeight="1" thickBot="1" x14ac:dyDescent="0.3">
      <c r="D8" s="2"/>
    </row>
    <row r="9" spans="2:5" ht="24.75" customHeight="1" thickBot="1" x14ac:dyDescent="0.3">
      <c r="B9" s="168" t="s">
        <v>153</v>
      </c>
      <c r="C9" s="169" t="s">
        <v>156</v>
      </c>
    </row>
    <row r="10" spans="2:5" ht="24.75" customHeight="1" x14ac:dyDescent="0.25">
      <c r="B10" s="170" t="s">
        <v>246</v>
      </c>
      <c r="C10" s="175">
        <v>181981.26</v>
      </c>
    </row>
    <row r="11" spans="2:5" ht="24.75" customHeight="1" x14ac:dyDescent="0.25">
      <c r="B11" s="79" t="s">
        <v>310</v>
      </c>
      <c r="C11" s="176">
        <v>90990.62</v>
      </c>
    </row>
    <row r="12" spans="2:5" ht="24.75" customHeight="1" x14ac:dyDescent="0.4">
      <c r="B12" s="86" t="s">
        <v>169</v>
      </c>
      <c r="C12" s="173">
        <f>SUM(C10:C11)</f>
        <v>272971.88</v>
      </c>
    </row>
    <row r="13" spans="2:5" ht="24.75" customHeight="1" thickBot="1" x14ac:dyDescent="0.3">
      <c r="B13" s="89"/>
      <c r="C13" s="174"/>
      <c r="E13" s="33"/>
    </row>
    <row r="14" spans="2:5" ht="24.75" customHeight="1" x14ac:dyDescent="0.25">
      <c r="E14" s="33"/>
    </row>
    <row r="15" spans="2:5" ht="24.75" customHeight="1" x14ac:dyDescent="0.25">
      <c r="E15" s="33"/>
    </row>
    <row r="17" spans="2:3" ht="24.75" customHeight="1" x14ac:dyDescent="0.25">
      <c r="C17" s="20"/>
    </row>
    <row r="18" spans="2:3" ht="24.75" customHeight="1" x14ac:dyDescent="0.25">
      <c r="C18" s="20"/>
    </row>
    <row r="19" spans="2:3" ht="24.75" customHeight="1" x14ac:dyDescent="0.25">
      <c r="B19" s="172" t="s">
        <v>540</v>
      </c>
      <c r="C19" s="20"/>
    </row>
  </sheetData>
  <mergeCells count="4">
    <mergeCell ref="B5:C5"/>
    <mergeCell ref="B6:C6"/>
    <mergeCell ref="B7:C7"/>
    <mergeCell ref="B4:C4"/>
  </mergeCells>
  <pageMargins left="1.299212598425197" right="0.70866141732283472" top="0.74803149606299213" bottom="0.74803149606299213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3:J50"/>
  <sheetViews>
    <sheetView topLeftCell="A18" zoomScale="90" zoomScaleNormal="90" workbookViewId="0">
      <selection activeCell="D13" sqref="D13"/>
    </sheetView>
  </sheetViews>
  <sheetFormatPr baseColWidth="10" defaultRowHeight="24.75" customHeight="1" x14ac:dyDescent="0.25"/>
  <cols>
    <col min="1" max="1" width="6" style="1" customWidth="1"/>
    <col min="2" max="2" width="49.85546875" style="1" customWidth="1"/>
    <col min="3" max="3" width="30.5703125" style="1" bestFit="1" customWidth="1"/>
    <col min="4" max="4" width="22.85546875" style="1" customWidth="1"/>
    <col min="5" max="5" width="16.28515625" style="1" bestFit="1" customWidth="1"/>
    <col min="6" max="6" width="19" style="1" bestFit="1" customWidth="1"/>
    <col min="7" max="7" width="16.85546875" style="1" bestFit="1" customWidth="1"/>
    <col min="8" max="8" width="11.42578125" style="1"/>
    <col min="9" max="9" width="15.85546875" style="1" bestFit="1" customWidth="1"/>
    <col min="10" max="10" width="11.5703125" style="1" bestFit="1" customWidth="1"/>
    <col min="11" max="16384" width="11.42578125" style="1"/>
  </cols>
  <sheetData>
    <row r="3" spans="2:10" ht="24.75" customHeight="1" x14ac:dyDescent="0.25">
      <c r="B3" s="484" t="s">
        <v>251</v>
      </c>
      <c r="C3" s="484"/>
      <c r="E3" s="57"/>
    </row>
    <row r="4" spans="2:10" ht="24.75" customHeight="1" x14ac:dyDescent="0.25">
      <c r="B4" s="484" t="s">
        <v>170</v>
      </c>
      <c r="C4" s="484"/>
      <c r="E4" s="57"/>
    </row>
    <row r="5" spans="2:10" ht="24.75" customHeight="1" x14ac:dyDescent="0.25">
      <c r="B5" s="484" t="s">
        <v>667</v>
      </c>
      <c r="C5" s="484"/>
      <c r="E5" s="57"/>
    </row>
    <row r="6" spans="2:10" ht="24.75" customHeight="1" x14ac:dyDescent="0.25">
      <c r="B6" s="496">
        <v>45504</v>
      </c>
      <c r="C6" s="496"/>
      <c r="E6" s="57"/>
    </row>
    <row r="7" spans="2:10" ht="24.75" customHeight="1" thickBot="1" x14ac:dyDescent="0.3">
      <c r="B7" s="73"/>
      <c r="C7" s="73"/>
      <c r="E7" s="57"/>
    </row>
    <row r="8" spans="2:10" ht="24.75" customHeight="1" thickBot="1" x14ac:dyDescent="0.3">
      <c r="B8" s="76" t="s">
        <v>183</v>
      </c>
      <c r="C8" s="78" t="s">
        <v>156</v>
      </c>
      <c r="E8" s="57"/>
    </row>
    <row r="9" spans="2:10" ht="24.75" customHeight="1" x14ac:dyDescent="0.25">
      <c r="B9" s="177" t="s">
        <v>249</v>
      </c>
      <c r="C9" s="108"/>
      <c r="E9" s="57"/>
    </row>
    <row r="10" spans="2:10" ht="24.75" customHeight="1" x14ac:dyDescent="0.25">
      <c r="B10" s="107" t="s">
        <v>601</v>
      </c>
      <c r="C10" s="108">
        <v>960732.9</v>
      </c>
      <c r="E10" s="57"/>
      <c r="F10" s="2"/>
      <c r="G10" s="20"/>
      <c r="I10" s="2"/>
      <c r="J10" s="20"/>
    </row>
    <row r="11" spans="2:10" ht="24.75" customHeight="1" x14ac:dyDescent="0.25">
      <c r="B11" s="107" t="s">
        <v>497</v>
      </c>
      <c r="C11" s="108">
        <v>372941.22</v>
      </c>
      <c r="E11" s="57"/>
      <c r="F11" s="2"/>
      <c r="G11" s="20"/>
    </row>
    <row r="12" spans="2:10" ht="24.75" customHeight="1" x14ac:dyDescent="0.25">
      <c r="B12" s="107" t="s">
        <v>498</v>
      </c>
      <c r="C12" s="108">
        <v>753046.23</v>
      </c>
      <c r="E12" s="57"/>
      <c r="F12" s="2"/>
      <c r="G12" s="20"/>
    </row>
    <row r="13" spans="2:10" ht="24.75" customHeight="1" x14ac:dyDescent="0.25">
      <c r="B13" s="107" t="s">
        <v>499</v>
      </c>
      <c r="C13" s="108">
        <v>154315.24</v>
      </c>
      <c r="E13" s="57"/>
      <c r="F13" s="2"/>
      <c r="G13" s="20"/>
    </row>
    <row r="14" spans="2:10" ht="24.75" customHeight="1" x14ac:dyDescent="0.25">
      <c r="B14" s="107" t="s">
        <v>832</v>
      </c>
      <c r="C14" s="108">
        <v>18910</v>
      </c>
      <c r="E14" s="57"/>
      <c r="F14" s="2"/>
      <c r="G14" s="20"/>
    </row>
    <row r="15" spans="2:10" ht="24.75" customHeight="1" x14ac:dyDescent="0.4">
      <c r="B15" s="107" t="s">
        <v>669</v>
      </c>
      <c r="C15" s="178">
        <v>71011.03</v>
      </c>
      <c r="E15" s="57"/>
      <c r="F15" s="2"/>
      <c r="G15" s="20"/>
    </row>
    <row r="16" spans="2:10" ht="24.75" customHeight="1" x14ac:dyDescent="0.25">
      <c r="B16" s="301" t="s">
        <v>502</v>
      </c>
      <c r="C16" s="302">
        <f>SUM(C10:C15)</f>
        <v>2330956.6199999996</v>
      </c>
      <c r="D16" s="20"/>
      <c r="E16" s="57"/>
      <c r="F16" s="2"/>
      <c r="G16" s="20"/>
    </row>
    <row r="17" spans="2:7" ht="24.75" customHeight="1" x14ac:dyDescent="0.25">
      <c r="B17" s="179"/>
      <c r="C17" s="180"/>
      <c r="E17" s="57"/>
      <c r="G17" s="20"/>
    </row>
    <row r="18" spans="2:7" ht="24.75" customHeight="1" x14ac:dyDescent="0.25">
      <c r="B18" s="112" t="s">
        <v>250</v>
      </c>
      <c r="C18" s="110"/>
      <c r="E18" s="57"/>
      <c r="F18" s="2"/>
      <c r="G18" s="20"/>
    </row>
    <row r="19" spans="2:7" ht="24.75" customHeight="1" x14ac:dyDescent="0.25">
      <c r="B19" s="109" t="s">
        <v>603</v>
      </c>
      <c r="C19" s="110">
        <v>98148.94</v>
      </c>
      <c r="E19" s="57"/>
      <c r="F19" s="2"/>
      <c r="G19" s="20"/>
    </row>
    <row r="20" spans="2:7" ht="24.75" customHeight="1" x14ac:dyDescent="0.25">
      <c r="B20" s="109" t="s">
        <v>500</v>
      </c>
      <c r="C20" s="110">
        <v>182033.53</v>
      </c>
      <c r="E20" s="57"/>
      <c r="F20" s="2"/>
      <c r="G20" s="20"/>
    </row>
    <row r="21" spans="2:7" ht="24.75" customHeight="1" x14ac:dyDescent="0.25">
      <c r="B21" s="109" t="s">
        <v>602</v>
      </c>
      <c r="C21" s="110">
        <v>130208.94</v>
      </c>
      <c r="E21" s="57"/>
      <c r="F21" s="2"/>
      <c r="G21" s="20"/>
    </row>
    <row r="22" spans="2:7" ht="24.75" hidden="1" customHeight="1" x14ac:dyDescent="0.25">
      <c r="B22" s="109" t="s">
        <v>627</v>
      </c>
      <c r="C22" s="110"/>
      <c r="E22" s="57"/>
      <c r="F22" s="2"/>
      <c r="G22" s="20"/>
    </row>
    <row r="23" spans="2:7" ht="24.75" hidden="1" customHeight="1" x14ac:dyDescent="0.25">
      <c r="B23" s="109" t="s">
        <v>628</v>
      </c>
      <c r="C23" s="110"/>
      <c r="E23" s="57"/>
      <c r="F23" s="2"/>
      <c r="G23" s="20"/>
    </row>
    <row r="24" spans="2:7" ht="24.75" customHeight="1" x14ac:dyDescent="0.4">
      <c r="B24" s="109" t="s">
        <v>501</v>
      </c>
      <c r="C24" s="111">
        <v>513683.22</v>
      </c>
      <c r="E24" s="57"/>
      <c r="F24" s="2"/>
      <c r="G24" s="20"/>
    </row>
    <row r="25" spans="2:7" ht="24.75" customHeight="1" x14ac:dyDescent="0.4">
      <c r="B25" s="301" t="s">
        <v>503</v>
      </c>
      <c r="C25" s="303">
        <f>SUM(C19:C24)</f>
        <v>924074.62999999989</v>
      </c>
      <c r="E25" s="57"/>
      <c r="F25" s="2"/>
      <c r="G25" s="20"/>
    </row>
    <row r="26" spans="2:7" ht="24.75" customHeight="1" x14ac:dyDescent="0.4">
      <c r="B26" s="301"/>
      <c r="C26" s="303"/>
      <c r="E26" s="57"/>
      <c r="F26" s="2"/>
      <c r="G26" s="20"/>
    </row>
    <row r="27" spans="2:7" ht="24.75" customHeight="1" x14ac:dyDescent="0.4">
      <c r="B27" s="304" t="s">
        <v>169</v>
      </c>
      <c r="C27" s="181">
        <f>+C16+C25</f>
        <v>3255031.2499999995</v>
      </c>
      <c r="E27" s="57"/>
      <c r="F27" s="2"/>
      <c r="G27" s="20"/>
    </row>
    <row r="28" spans="2:7" ht="24.75" customHeight="1" thickBot="1" x14ac:dyDescent="0.3">
      <c r="B28" s="114"/>
      <c r="C28" s="115"/>
      <c r="E28" s="428"/>
    </row>
    <row r="29" spans="2:7" ht="24.75" customHeight="1" x14ac:dyDescent="0.25">
      <c r="C29" s="20"/>
      <c r="G29" s="471">
        <v>3255031.25</v>
      </c>
    </row>
    <row r="30" spans="2:7" ht="24.75" customHeight="1" x14ac:dyDescent="0.25">
      <c r="B30" s="1" t="s">
        <v>785</v>
      </c>
      <c r="C30" s="20">
        <v>3255031.25</v>
      </c>
      <c r="E30" s="2"/>
    </row>
    <row r="31" spans="2:7" ht="24.75" customHeight="1" thickBot="1" x14ac:dyDescent="0.3">
      <c r="B31" s="1" t="s">
        <v>786</v>
      </c>
      <c r="C31" s="434">
        <f>+C27-C30</f>
        <v>0</v>
      </c>
      <c r="E31" s="2"/>
    </row>
    <row r="32" spans="2:7" ht="24.75" customHeight="1" thickTop="1" x14ac:dyDescent="0.25">
      <c r="C32" s="22"/>
      <c r="E32" s="2"/>
    </row>
    <row r="33" spans="3:5" ht="24.75" customHeight="1" x14ac:dyDescent="0.25">
      <c r="C33" s="22"/>
      <c r="E33" s="2"/>
    </row>
    <row r="34" spans="3:5" ht="24.75" customHeight="1" x14ac:dyDescent="0.25">
      <c r="C34" s="22"/>
      <c r="E34" s="2"/>
    </row>
    <row r="35" spans="3:5" ht="24.75" customHeight="1" x14ac:dyDescent="0.25">
      <c r="C35" s="22"/>
      <c r="E35" s="2"/>
    </row>
    <row r="36" spans="3:5" ht="24.75" customHeight="1" x14ac:dyDescent="0.25">
      <c r="C36" s="22"/>
      <c r="E36" s="2"/>
    </row>
    <row r="37" spans="3:5" ht="24.75" customHeight="1" x14ac:dyDescent="0.25">
      <c r="C37" s="2"/>
      <c r="E37" s="2"/>
    </row>
    <row r="38" spans="3:5" ht="24.75" customHeight="1" x14ac:dyDescent="0.25">
      <c r="C38" s="2"/>
      <c r="E38" s="2"/>
    </row>
    <row r="39" spans="3:5" ht="24.75" customHeight="1" x14ac:dyDescent="0.25">
      <c r="C39" s="2"/>
      <c r="E39" s="2"/>
    </row>
    <row r="40" spans="3:5" ht="24.75" customHeight="1" x14ac:dyDescent="0.25">
      <c r="C40" s="2"/>
      <c r="E40" s="2"/>
    </row>
    <row r="41" spans="3:5" ht="24.75" customHeight="1" x14ac:dyDescent="0.25">
      <c r="C41" s="2"/>
      <c r="D41" s="2"/>
      <c r="E41" s="2"/>
    </row>
    <row r="42" spans="3:5" ht="24.75" customHeight="1" x14ac:dyDescent="0.25">
      <c r="C42" s="2"/>
      <c r="D42" s="2"/>
      <c r="E42" s="2"/>
    </row>
    <row r="43" spans="3:5" ht="24.75" customHeight="1" x14ac:dyDescent="0.25">
      <c r="C43" s="2"/>
      <c r="D43" s="2"/>
      <c r="E43" s="2"/>
    </row>
    <row r="44" spans="3:5" ht="24.75" customHeight="1" x14ac:dyDescent="0.25">
      <c r="C44" s="2"/>
      <c r="D44" s="2"/>
      <c r="E44" s="2"/>
    </row>
    <row r="45" spans="3:5" ht="24.75" customHeight="1" x14ac:dyDescent="0.25">
      <c r="C45" s="2"/>
      <c r="D45" s="2"/>
      <c r="E45" s="2"/>
    </row>
    <row r="46" spans="3:5" ht="24.75" customHeight="1" x14ac:dyDescent="0.25">
      <c r="C46" s="2"/>
      <c r="D46" s="2"/>
      <c r="E46" s="2"/>
    </row>
    <row r="47" spans="3:5" ht="24.75" customHeight="1" x14ac:dyDescent="0.25">
      <c r="C47" s="2"/>
      <c r="D47" s="2"/>
      <c r="E47" s="2"/>
    </row>
    <row r="48" spans="3:5" ht="24.75" customHeight="1" x14ac:dyDescent="0.25">
      <c r="C48" s="2"/>
      <c r="D48" s="2"/>
      <c r="E48" s="2"/>
    </row>
    <row r="49" spans="3:5" ht="24.75" customHeight="1" x14ac:dyDescent="0.25">
      <c r="C49" s="2"/>
      <c r="D49" s="2"/>
      <c r="E49" s="2"/>
    </row>
    <row r="50" spans="3:5" ht="24.75" customHeight="1" x14ac:dyDescent="0.25">
      <c r="C50" s="2"/>
      <c r="D50" s="2"/>
      <c r="E50" s="2"/>
    </row>
  </sheetData>
  <mergeCells count="4">
    <mergeCell ref="B5:C5"/>
    <mergeCell ref="B6:C6"/>
    <mergeCell ref="B4:C4"/>
    <mergeCell ref="B3:C3"/>
  </mergeCells>
  <phoneticPr fontId="32" type="noConversion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I28"/>
  <sheetViews>
    <sheetView topLeftCell="A6" zoomScaleNormal="100" workbookViewId="0">
      <selection activeCell="C15" sqref="A1:C15"/>
    </sheetView>
  </sheetViews>
  <sheetFormatPr baseColWidth="10" defaultRowHeight="24.75" customHeight="1" x14ac:dyDescent="0.25"/>
  <cols>
    <col min="1" max="1" width="10.140625" style="1" customWidth="1"/>
    <col min="2" max="2" width="39.28515625" style="1" customWidth="1"/>
    <col min="3" max="3" width="24.7109375" style="1" customWidth="1"/>
    <col min="4" max="4" width="15.85546875" style="1" bestFit="1" customWidth="1"/>
    <col min="5" max="16384" width="11.42578125" style="1"/>
  </cols>
  <sheetData>
    <row r="3" spans="2:9" ht="24.75" customHeight="1" x14ac:dyDescent="0.25">
      <c r="B3" s="484" t="s">
        <v>181</v>
      </c>
      <c r="C3" s="484"/>
    </row>
    <row r="4" spans="2:9" ht="30" customHeight="1" x14ac:dyDescent="0.25">
      <c r="B4" s="484" t="s">
        <v>170</v>
      </c>
      <c r="C4" s="484"/>
    </row>
    <row r="5" spans="2:9" ht="31.5" customHeight="1" x14ac:dyDescent="0.25">
      <c r="B5" s="507" t="s">
        <v>340</v>
      </c>
      <c r="C5" s="507"/>
      <c r="H5" s="53"/>
      <c r="I5" s="53"/>
    </row>
    <row r="6" spans="2:9" ht="24.75" customHeight="1" x14ac:dyDescent="0.25">
      <c r="B6" s="496">
        <v>45504</v>
      </c>
      <c r="C6" s="496"/>
    </row>
    <row r="7" spans="2:9" ht="24.75" customHeight="1" thickBot="1" x14ac:dyDescent="0.3">
      <c r="B7" s="73"/>
      <c r="C7" s="73"/>
    </row>
    <row r="8" spans="2:9" ht="24.75" customHeight="1" thickBot="1" x14ac:dyDescent="0.3">
      <c r="B8" s="76" t="s">
        <v>183</v>
      </c>
      <c r="C8" s="78" t="s">
        <v>156</v>
      </c>
    </row>
    <row r="9" spans="2:9" ht="24.75" customHeight="1" x14ac:dyDescent="0.25">
      <c r="B9" s="107" t="s">
        <v>604</v>
      </c>
      <c r="C9" s="108">
        <f>+'NOTA 5-SEG PAG X ANT'!F55</f>
        <v>244702.66000000003</v>
      </c>
    </row>
    <row r="10" spans="2:9" ht="24.75" customHeight="1" x14ac:dyDescent="0.25">
      <c r="B10" s="109" t="s">
        <v>453</v>
      </c>
      <c r="C10" s="110">
        <f>+'NOTA 5 - LIC MS 365 AMORTIZ'!F44</f>
        <v>983383.35000000009</v>
      </c>
    </row>
    <row r="11" spans="2:9" ht="24.75" customHeight="1" x14ac:dyDescent="0.25">
      <c r="B11" s="109" t="s">
        <v>439</v>
      </c>
      <c r="C11" s="110">
        <f>+'NOTA 5 LICENCIAS JIRA'!F44</f>
        <v>899999.99999999988</v>
      </c>
    </row>
    <row r="12" spans="2:9" ht="24.75" customHeight="1" x14ac:dyDescent="0.4">
      <c r="B12" s="109" t="s">
        <v>488</v>
      </c>
      <c r="C12" s="111">
        <f>+'NOTA 5 Licencias Adobe'!F43</f>
        <v>54866.678333333344</v>
      </c>
      <c r="D12" s="20"/>
    </row>
    <row r="13" spans="2:9" ht="24.75" customHeight="1" x14ac:dyDescent="0.4">
      <c r="B13" s="112" t="s">
        <v>169</v>
      </c>
      <c r="C13" s="113">
        <f>SUM(C9:C12)</f>
        <v>2182952.6883333335</v>
      </c>
    </row>
    <row r="14" spans="2:9" ht="16.5" thickBot="1" x14ac:dyDescent="0.3">
      <c r="B14" s="114"/>
      <c r="C14" s="115"/>
    </row>
    <row r="15" spans="2:9" ht="18" customHeight="1" x14ac:dyDescent="0.25">
      <c r="B15" s="182"/>
      <c r="C15" s="182"/>
    </row>
    <row r="16" spans="2:9" ht="18" customHeight="1" x14ac:dyDescent="0.25">
      <c r="B16" s="182"/>
      <c r="C16" s="392"/>
    </row>
    <row r="17" spans="2:3" ht="18" customHeight="1" x14ac:dyDescent="0.25">
      <c r="B17" s="182"/>
      <c r="C17" s="182"/>
    </row>
    <row r="18" spans="2:3" ht="18" customHeight="1" x14ac:dyDescent="0.25">
      <c r="B18" s="182"/>
      <c r="C18" s="182"/>
    </row>
    <row r="19" spans="2:3" ht="18" customHeight="1" x14ac:dyDescent="0.25">
      <c r="B19" s="182"/>
      <c r="C19" s="182"/>
    </row>
    <row r="20" spans="2:3" ht="24.75" customHeight="1" x14ac:dyDescent="0.25">
      <c r="C20" s="20"/>
    </row>
    <row r="21" spans="2:3" ht="24.75" hidden="1" customHeight="1" x14ac:dyDescent="0.25">
      <c r="B21" s="1" t="s">
        <v>516</v>
      </c>
      <c r="C21" s="20">
        <f>-'NOTA 5-SEG PAG X ANT'!F49</f>
        <v>-734107.84</v>
      </c>
    </row>
    <row r="22" spans="2:3" ht="24.75" hidden="1" customHeight="1" x14ac:dyDescent="0.25">
      <c r="B22" s="1" t="s">
        <v>517</v>
      </c>
      <c r="C22" s="20">
        <f>-'NOTA 5 - LIC MS 365 AMORTIZ'!F37</f>
        <v>0</v>
      </c>
    </row>
    <row r="23" spans="2:3" ht="24.75" hidden="1" customHeight="1" x14ac:dyDescent="0.25">
      <c r="B23" s="1" t="s">
        <v>518</v>
      </c>
      <c r="C23" s="20">
        <f>-'NOTA 5 LICENCIAS JIRA'!F33</f>
        <v>-74166.67</v>
      </c>
    </row>
    <row r="24" spans="2:3" ht="24.75" hidden="1" customHeight="1" x14ac:dyDescent="0.25">
      <c r="B24" s="1" t="s">
        <v>519</v>
      </c>
      <c r="C24" s="20">
        <f>-'NOTA 5 Licencias Adobe'!F32</f>
        <v>-27433.334166666667</v>
      </c>
    </row>
    <row r="25" spans="2:3" ht="24.75" hidden="1" customHeight="1" x14ac:dyDescent="0.25">
      <c r="B25" s="1" t="s">
        <v>520</v>
      </c>
      <c r="C25" s="20">
        <v>-278983.06</v>
      </c>
    </row>
    <row r="26" spans="2:3" ht="24.75" hidden="1" customHeight="1" thickBot="1" x14ac:dyDescent="0.3">
      <c r="B26" s="1" t="s">
        <v>521</v>
      </c>
      <c r="C26" s="183">
        <f>SUM(C20:C25)</f>
        <v>-1114690.9041666668</v>
      </c>
    </row>
    <row r="27" spans="2:3" ht="24.75" hidden="1" customHeight="1" thickTop="1" x14ac:dyDescent="0.25"/>
    <row r="28" spans="2:3" ht="24.75" customHeight="1" x14ac:dyDescent="0.25">
      <c r="C28" s="20"/>
    </row>
  </sheetData>
  <mergeCells count="4">
    <mergeCell ref="B3:C3"/>
    <mergeCell ref="B5:C5"/>
    <mergeCell ref="B6:C6"/>
    <mergeCell ref="B4:C4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4:G57"/>
  <sheetViews>
    <sheetView zoomScale="110" zoomScaleNormal="110" workbookViewId="0">
      <selection activeCell="C15" sqref="A1:C15"/>
    </sheetView>
  </sheetViews>
  <sheetFormatPr baseColWidth="10" defaultColWidth="11.5703125" defaultRowHeight="15.75" x14ac:dyDescent="0.25"/>
  <cols>
    <col min="1" max="1" width="11.5703125" style="1" customWidth="1"/>
    <col min="2" max="2" width="24.5703125" style="1" customWidth="1"/>
    <col min="3" max="3" width="12" style="1" customWidth="1"/>
    <col min="4" max="4" width="19.28515625" style="1" bestFit="1" customWidth="1"/>
    <col min="5" max="5" width="11.5703125" style="1" customWidth="1"/>
    <col min="6" max="6" width="15.85546875" style="1" customWidth="1"/>
    <col min="7" max="16384" width="11.5703125" style="1"/>
  </cols>
  <sheetData>
    <row r="4" spans="2:6" x14ac:dyDescent="0.25">
      <c r="B4" s="484" t="s">
        <v>181</v>
      </c>
      <c r="C4" s="484"/>
      <c r="D4" s="484"/>
      <c r="E4" s="484"/>
      <c r="F4" s="484"/>
    </row>
    <row r="5" spans="2:6" x14ac:dyDescent="0.25">
      <c r="B5" s="484" t="s">
        <v>170</v>
      </c>
      <c r="C5" s="484"/>
      <c r="D5" s="484"/>
      <c r="E5" s="484"/>
      <c r="F5" s="484"/>
    </row>
    <row r="6" spans="2:6" x14ac:dyDescent="0.25">
      <c r="B6" s="484" t="s">
        <v>208</v>
      </c>
      <c r="C6" s="484"/>
      <c r="D6" s="484"/>
      <c r="E6" s="484"/>
      <c r="F6" s="484"/>
    </row>
    <row r="7" spans="2:6" x14ac:dyDescent="0.25">
      <c r="B7" s="508">
        <v>45504</v>
      </c>
      <c r="C7" s="508"/>
      <c r="D7" s="508"/>
      <c r="E7" s="508"/>
      <c r="F7" s="508"/>
    </row>
    <row r="9" spans="2:6" x14ac:dyDescent="0.25">
      <c r="B9" s="485" t="s">
        <v>505</v>
      </c>
      <c r="C9" s="485"/>
      <c r="D9" s="485"/>
      <c r="E9" s="485"/>
      <c r="F9" s="485"/>
    </row>
    <row r="10" spans="2:6" x14ac:dyDescent="0.25">
      <c r="B10" s="485" t="s">
        <v>546</v>
      </c>
      <c r="C10" s="485"/>
      <c r="D10" s="485"/>
      <c r="E10" s="485"/>
      <c r="F10" s="485"/>
    </row>
    <row r="11" spans="2:6" x14ac:dyDescent="0.25">
      <c r="B11" s="485" t="s">
        <v>547</v>
      </c>
      <c r="C11" s="485"/>
      <c r="D11" s="485"/>
      <c r="E11" s="485"/>
      <c r="F11" s="485"/>
    </row>
    <row r="12" spans="2:6" ht="16.5" thickBot="1" x14ac:dyDescent="0.3">
      <c r="B12" s="19"/>
      <c r="C12" s="19"/>
      <c r="D12" s="19"/>
      <c r="E12" s="19"/>
      <c r="F12" s="19"/>
    </row>
    <row r="13" spans="2:6" ht="18" customHeight="1" thickBot="1" x14ac:dyDescent="0.3">
      <c r="B13" s="76" t="s">
        <v>148</v>
      </c>
      <c r="C13" s="77"/>
      <c r="D13" s="77" t="s">
        <v>209</v>
      </c>
      <c r="E13" s="77"/>
      <c r="F13" s="243" t="s">
        <v>315</v>
      </c>
    </row>
    <row r="14" spans="2:6" x14ac:dyDescent="0.25">
      <c r="B14" s="184" t="s">
        <v>510</v>
      </c>
      <c r="D14" s="1" t="s">
        <v>160</v>
      </c>
      <c r="F14" s="185">
        <v>606725.53</v>
      </c>
    </row>
    <row r="15" spans="2:6" x14ac:dyDescent="0.25">
      <c r="B15" s="184" t="s">
        <v>506</v>
      </c>
      <c r="D15" s="1" t="s">
        <v>161</v>
      </c>
      <c r="F15" s="185">
        <v>296873</v>
      </c>
    </row>
    <row r="16" spans="2:6" x14ac:dyDescent="0.25">
      <c r="B16" s="184" t="s">
        <v>507</v>
      </c>
      <c r="D16" s="1" t="s">
        <v>162</v>
      </c>
      <c r="F16" s="185">
        <v>5800</v>
      </c>
    </row>
    <row r="17" spans="2:7" x14ac:dyDescent="0.25">
      <c r="B17" s="184" t="s">
        <v>509</v>
      </c>
      <c r="D17" s="1" t="s">
        <v>163</v>
      </c>
      <c r="F17" s="185">
        <v>23964.99</v>
      </c>
    </row>
    <row r="18" spans="2:7" x14ac:dyDescent="0.25">
      <c r="B18" s="184" t="s">
        <v>508</v>
      </c>
      <c r="D18" s="1" t="s">
        <v>164</v>
      </c>
      <c r="F18" s="185">
        <v>32103.05</v>
      </c>
    </row>
    <row r="19" spans="2:7" x14ac:dyDescent="0.25">
      <c r="B19" s="184" t="s">
        <v>511</v>
      </c>
      <c r="D19" s="1" t="s">
        <v>165</v>
      </c>
      <c r="F19" s="185">
        <v>20880</v>
      </c>
    </row>
    <row r="20" spans="2:7" ht="18" x14ac:dyDescent="0.4">
      <c r="B20" s="184" t="s">
        <v>167</v>
      </c>
      <c r="F20" s="186">
        <f>-986346.57+978810.5</f>
        <v>-7536.0699999999488</v>
      </c>
    </row>
    <row r="21" spans="2:7" ht="18" x14ac:dyDescent="0.4">
      <c r="B21" s="187" t="s">
        <v>126</v>
      </c>
      <c r="C21" s="87"/>
      <c r="D21" s="87"/>
      <c r="E21" s="87"/>
      <c r="F21" s="188">
        <f>SUM(F14:F20)</f>
        <v>978810.50000000012</v>
      </c>
    </row>
    <row r="22" spans="2:7" x14ac:dyDescent="0.25">
      <c r="F22" s="61"/>
    </row>
    <row r="23" spans="2:7" x14ac:dyDescent="0.25">
      <c r="B23" s="189" t="s">
        <v>512</v>
      </c>
      <c r="C23" s="190"/>
      <c r="D23" s="190"/>
      <c r="E23" s="190"/>
      <c r="F23" s="191">
        <v>978810.5</v>
      </c>
    </row>
    <row r="24" spans="2:7" ht="18" x14ac:dyDescent="0.4">
      <c r="B24" s="192"/>
      <c r="F24" s="186"/>
    </row>
    <row r="25" spans="2:7" ht="18" x14ac:dyDescent="0.4">
      <c r="B25" s="193" t="s">
        <v>313</v>
      </c>
      <c r="C25" s="67"/>
      <c r="D25" s="67"/>
      <c r="E25" s="67"/>
      <c r="F25" s="194">
        <f>SUM(F23:F24)</f>
        <v>978810.5</v>
      </c>
    </row>
    <row r="26" spans="2:7" x14ac:dyDescent="0.25">
      <c r="F26" s="61"/>
    </row>
    <row r="27" spans="2:7" x14ac:dyDescent="0.25">
      <c r="F27" s="2"/>
    </row>
    <row r="28" spans="2:7" x14ac:dyDescent="0.25">
      <c r="B28" s="195" t="s">
        <v>166</v>
      </c>
      <c r="C28" s="195"/>
      <c r="D28" s="195"/>
      <c r="E28" s="195"/>
      <c r="F28" s="196">
        <f>+F21/12</f>
        <v>81567.541666666672</v>
      </c>
    </row>
    <row r="29" spans="2:7" x14ac:dyDescent="0.25">
      <c r="F29" s="2"/>
    </row>
    <row r="30" spans="2:7" x14ac:dyDescent="0.25">
      <c r="B30" s="1" t="s">
        <v>534</v>
      </c>
      <c r="D30" s="1">
        <v>2</v>
      </c>
      <c r="F30" s="2">
        <f>+F28*D30</f>
        <v>163135.08333333334</v>
      </c>
      <c r="G30" s="20"/>
    </row>
    <row r="31" spans="2:7" x14ac:dyDescent="0.25">
      <c r="F31" s="2"/>
    </row>
    <row r="32" spans="2:7" x14ac:dyDescent="0.25">
      <c r="B32" s="1" t="s">
        <v>535</v>
      </c>
      <c r="D32" s="1">
        <v>3</v>
      </c>
      <c r="F32" s="2">
        <f>+D32*F28</f>
        <v>244702.625</v>
      </c>
      <c r="G32" s="20"/>
    </row>
    <row r="33" spans="2:7" x14ac:dyDescent="0.25">
      <c r="F33" s="2"/>
    </row>
    <row r="34" spans="2:7" x14ac:dyDescent="0.25">
      <c r="B34" s="1" t="s">
        <v>536</v>
      </c>
      <c r="D34" s="1">
        <v>7</v>
      </c>
      <c r="F34" s="2">
        <f>+D34*F28</f>
        <v>570972.79166666674</v>
      </c>
      <c r="G34" s="20"/>
    </row>
    <row r="35" spans="2:7" x14ac:dyDescent="0.25">
      <c r="F35" s="2"/>
    </row>
    <row r="36" spans="2:7" x14ac:dyDescent="0.25">
      <c r="B36" s="1" t="s">
        <v>513</v>
      </c>
      <c r="F36" s="2">
        <v>81567.539999999994</v>
      </c>
      <c r="G36" s="20"/>
    </row>
    <row r="37" spans="2:7" x14ac:dyDescent="0.25">
      <c r="B37" s="1" t="s">
        <v>514</v>
      </c>
      <c r="F37" s="2">
        <v>81567.539999999994</v>
      </c>
    </row>
    <row r="38" spans="2:7" x14ac:dyDescent="0.25">
      <c r="B38" s="1" t="s">
        <v>515</v>
      </c>
      <c r="F38" s="2">
        <v>81567.539999999994</v>
      </c>
    </row>
    <row r="39" spans="2:7" x14ac:dyDescent="0.25">
      <c r="B39" s="1" t="s">
        <v>606</v>
      </c>
      <c r="F39" s="2">
        <v>81567.539999999994</v>
      </c>
    </row>
    <row r="40" spans="2:7" x14ac:dyDescent="0.25">
      <c r="B40" s="1" t="s">
        <v>607</v>
      </c>
      <c r="F40" s="2">
        <v>81567.539999999994</v>
      </c>
    </row>
    <row r="41" spans="2:7" x14ac:dyDescent="0.25">
      <c r="B41" s="1" t="s">
        <v>608</v>
      </c>
      <c r="F41" s="2">
        <v>81567.539999999994</v>
      </c>
    </row>
    <row r="42" spans="2:7" x14ac:dyDescent="0.25">
      <c r="B42" s="1" t="s">
        <v>609</v>
      </c>
      <c r="F42" s="2">
        <v>81567.539999999994</v>
      </c>
    </row>
    <row r="43" spans="2:7" x14ac:dyDescent="0.25">
      <c r="B43" s="1" t="s">
        <v>610</v>
      </c>
      <c r="F43" s="2">
        <v>81567.539999999994</v>
      </c>
    </row>
    <row r="44" spans="2:7" x14ac:dyDescent="0.25">
      <c r="B44" s="3" t="s">
        <v>611</v>
      </c>
      <c r="F44" s="31">
        <v>81567.539999999994</v>
      </c>
    </row>
    <row r="45" spans="2:7" hidden="1" x14ac:dyDescent="0.25">
      <c r="B45" s="3" t="s">
        <v>612</v>
      </c>
      <c r="F45" s="2"/>
    </row>
    <row r="46" spans="2:7" hidden="1" x14ac:dyDescent="0.25">
      <c r="B46" s="3" t="s">
        <v>613</v>
      </c>
      <c r="F46" s="2"/>
    </row>
    <row r="47" spans="2:7" hidden="1" x14ac:dyDescent="0.25">
      <c r="B47" s="3" t="s">
        <v>614</v>
      </c>
      <c r="F47" s="2"/>
    </row>
    <row r="48" spans="2:7" hidden="1" x14ac:dyDescent="0.25">
      <c r="B48" s="3" t="s">
        <v>615</v>
      </c>
      <c r="F48" s="2"/>
    </row>
    <row r="49" spans="2:6" x14ac:dyDescent="0.25">
      <c r="B49" s="1" t="s">
        <v>149</v>
      </c>
      <c r="F49" s="197">
        <f>SUM(F36:F47)-0.02</f>
        <v>734107.84</v>
      </c>
    </row>
    <row r="50" spans="2:6" x14ac:dyDescent="0.25">
      <c r="F50" s="101"/>
    </row>
    <row r="51" spans="2:6" x14ac:dyDescent="0.25">
      <c r="B51" s="1" t="s">
        <v>471</v>
      </c>
      <c r="F51" s="101"/>
    </row>
    <row r="52" spans="2:6" x14ac:dyDescent="0.25">
      <c r="B52" s="1" t="s">
        <v>472</v>
      </c>
      <c r="F52" s="101"/>
    </row>
    <row r="53" spans="2:6" x14ac:dyDescent="0.25">
      <c r="B53" s="1" t="s">
        <v>473</v>
      </c>
      <c r="F53" s="101"/>
    </row>
    <row r="54" spans="2:6" x14ac:dyDescent="0.25">
      <c r="F54" s="61"/>
    </row>
    <row r="55" spans="2:6" ht="18" x14ac:dyDescent="0.4">
      <c r="B55" s="146" t="s">
        <v>150</v>
      </c>
      <c r="C55" s="146"/>
      <c r="D55" s="146"/>
      <c r="E55" s="146"/>
      <c r="F55" s="198">
        <f>+F25-F49</f>
        <v>244702.66000000003</v>
      </c>
    </row>
    <row r="57" spans="2:6" x14ac:dyDescent="0.25">
      <c r="F57" s="20"/>
    </row>
  </sheetData>
  <mergeCells count="7">
    <mergeCell ref="B4:F4"/>
    <mergeCell ref="B5:F5"/>
    <mergeCell ref="B7:F7"/>
    <mergeCell ref="B10:F10"/>
    <mergeCell ref="B11:F11"/>
    <mergeCell ref="B6:F6"/>
    <mergeCell ref="B9:F9"/>
  </mergeCells>
  <phoneticPr fontId="32" type="noConversion"/>
  <pageMargins left="0.11811023622047245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57"/>
  <sheetViews>
    <sheetView view="pageBreakPreview" zoomScaleNormal="100" zoomScaleSheetLayoutView="100" workbookViewId="0">
      <selection activeCell="C15" sqref="A1:C15"/>
    </sheetView>
  </sheetViews>
  <sheetFormatPr baseColWidth="10" defaultRowHeight="24.75" customHeight="1" x14ac:dyDescent="0.25"/>
  <cols>
    <col min="1" max="1" width="4.7109375" style="219" customWidth="1"/>
    <col min="2" max="2" width="33" style="219" bestFit="1" customWidth="1"/>
    <col min="3" max="3" width="13.5703125" style="219" customWidth="1"/>
    <col min="4" max="4" width="17" style="219" customWidth="1"/>
    <col min="5" max="5" width="12" style="219" bestFit="1" customWidth="1"/>
    <col min="6" max="6" width="18.85546875" style="219" customWidth="1"/>
    <col min="7" max="7" width="16" style="1" bestFit="1" customWidth="1"/>
    <col min="8" max="16384" width="11.42578125" style="1"/>
  </cols>
  <sheetData>
    <row r="1" spans="1:6" ht="15.95" customHeight="1" x14ac:dyDescent="0.25">
      <c r="A1" s="1"/>
      <c r="B1" s="1"/>
      <c r="C1" s="1"/>
      <c r="D1" s="1"/>
      <c r="E1" s="1"/>
      <c r="F1" s="1"/>
    </row>
    <row r="2" spans="1:6" ht="15.95" customHeight="1" x14ac:dyDescent="0.25">
      <c r="A2" s="1"/>
      <c r="B2" s="1"/>
      <c r="C2" s="1"/>
      <c r="D2" s="1"/>
      <c r="E2" s="1"/>
      <c r="F2" s="1"/>
    </row>
    <row r="3" spans="1:6" ht="15.95" customHeight="1" x14ac:dyDescent="0.25">
      <c r="A3" s="1"/>
      <c r="B3" s="484" t="s">
        <v>181</v>
      </c>
      <c r="C3" s="484"/>
      <c r="D3" s="484"/>
      <c r="E3" s="484"/>
      <c r="F3" s="484"/>
    </row>
    <row r="4" spans="1:6" ht="15.95" customHeight="1" x14ac:dyDescent="0.25">
      <c r="A4" s="1"/>
      <c r="B4" s="484" t="s">
        <v>170</v>
      </c>
      <c r="C4" s="484"/>
      <c r="D4" s="484"/>
      <c r="E4" s="484"/>
      <c r="F4" s="484"/>
    </row>
    <row r="5" spans="1:6" ht="15.95" customHeight="1" x14ac:dyDescent="0.25">
      <c r="A5" s="1"/>
      <c r="B5" s="484" t="s">
        <v>255</v>
      </c>
      <c r="C5" s="484"/>
      <c r="D5" s="484"/>
      <c r="E5" s="484"/>
      <c r="F5" s="484"/>
    </row>
    <row r="6" spans="1:6" ht="15.95" customHeight="1" x14ac:dyDescent="0.25">
      <c r="A6" s="1"/>
      <c r="B6" s="508">
        <v>45504</v>
      </c>
      <c r="C6" s="508"/>
      <c r="D6" s="508"/>
      <c r="E6" s="508"/>
      <c r="F6" s="508"/>
    </row>
    <row r="7" spans="1:6" ht="15.95" customHeight="1" x14ac:dyDescent="0.25">
      <c r="A7" s="1"/>
      <c r="B7" s="1"/>
      <c r="C7" s="1"/>
      <c r="D7" s="1"/>
      <c r="E7" s="1"/>
      <c r="F7" s="1"/>
    </row>
    <row r="8" spans="1:6" ht="21.75" customHeight="1" x14ac:dyDescent="0.25">
      <c r="A8" s="1"/>
      <c r="B8" s="485" t="s">
        <v>767</v>
      </c>
      <c r="C8" s="485"/>
      <c r="D8" s="485"/>
      <c r="E8" s="485"/>
      <c r="F8" s="485"/>
    </row>
    <row r="9" spans="1:6" ht="21.75" customHeight="1" x14ac:dyDescent="0.25">
      <c r="A9" s="1"/>
      <c r="B9" s="485" t="s">
        <v>548</v>
      </c>
      <c r="C9" s="485"/>
      <c r="D9" s="485"/>
      <c r="E9" s="485"/>
      <c r="F9" s="485"/>
    </row>
    <row r="10" spans="1:6" ht="21.75" customHeight="1" x14ac:dyDescent="0.25">
      <c r="A10" s="1"/>
      <c r="B10" s="485" t="s">
        <v>265</v>
      </c>
      <c r="C10" s="485"/>
      <c r="D10" s="485"/>
      <c r="E10" s="485"/>
      <c r="F10" s="485"/>
    </row>
    <row r="11" spans="1:6" ht="15.95" customHeight="1" thickBot="1" x14ac:dyDescent="0.3">
      <c r="A11" s="1"/>
      <c r="B11" s="1"/>
      <c r="C11" s="1"/>
      <c r="D11" s="1"/>
      <c r="E11" s="1"/>
      <c r="F11" s="1"/>
    </row>
    <row r="12" spans="1:6" ht="23.25" customHeight="1" thickBot="1" x14ac:dyDescent="0.3">
      <c r="A12" s="1"/>
      <c r="B12" s="199" t="s">
        <v>178</v>
      </c>
      <c r="C12" s="200"/>
      <c r="D12" s="200" t="s">
        <v>314</v>
      </c>
      <c r="E12" s="200"/>
      <c r="F12" s="201" t="s">
        <v>315</v>
      </c>
    </row>
    <row r="13" spans="1:6" ht="22.5" customHeight="1" x14ac:dyDescent="0.4">
      <c r="A13" s="1"/>
      <c r="B13" s="202" t="s">
        <v>256</v>
      </c>
      <c r="C13" s="203"/>
      <c r="D13" s="204" t="s">
        <v>257</v>
      </c>
      <c r="E13" s="203"/>
      <c r="F13" s="205">
        <v>1685800</v>
      </c>
    </row>
    <row r="14" spans="1:6" ht="23.25" customHeight="1" thickBot="1" x14ac:dyDescent="0.45">
      <c r="A14" s="1"/>
      <c r="B14" s="206" t="s">
        <v>126</v>
      </c>
      <c r="C14" s="207"/>
      <c r="D14" s="207"/>
      <c r="E14" s="207"/>
      <c r="F14" s="208">
        <f>SUM(F13:F13)</f>
        <v>1685800</v>
      </c>
    </row>
    <row r="15" spans="1:6" ht="15.95" customHeight="1" thickBot="1" x14ac:dyDescent="0.3">
      <c r="A15" s="1"/>
      <c r="B15" s="1"/>
      <c r="C15" s="1"/>
      <c r="D15" s="1"/>
      <c r="E15" s="1"/>
      <c r="F15" s="1"/>
    </row>
    <row r="16" spans="1:6" ht="24" customHeight="1" thickBot="1" x14ac:dyDescent="0.3">
      <c r="A16" s="1"/>
      <c r="B16" s="199" t="s">
        <v>132</v>
      </c>
      <c r="C16" s="200" t="s">
        <v>258</v>
      </c>
      <c r="D16" s="200"/>
      <c r="E16" s="200" t="s">
        <v>259</v>
      </c>
      <c r="F16" s="201" t="s">
        <v>133</v>
      </c>
    </row>
    <row r="17" spans="1:6" ht="18" customHeight="1" x14ac:dyDescent="0.25">
      <c r="A17" s="1"/>
      <c r="B17" s="209" t="s">
        <v>260</v>
      </c>
      <c r="C17" s="203" t="s">
        <v>753</v>
      </c>
      <c r="D17" s="203"/>
      <c r="E17" s="210">
        <v>45367</v>
      </c>
      <c r="F17" s="211">
        <v>1685800</v>
      </c>
    </row>
    <row r="18" spans="1:6" ht="18.75" customHeight="1" x14ac:dyDescent="0.4">
      <c r="A18" s="1"/>
      <c r="B18" s="212"/>
      <c r="C18" s="213"/>
      <c r="D18" s="213"/>
      <c r="E18" s="214"/>
      <c r="F18" s="215"/>
    </row>
    <row r="19" spans="1:6" ht="15.95" customHeight="1" x14ac:dyDescent="0.25">
      <c r="A19" s="1"/>
      <c r="B19" s="1"/>
      <c r="C19" s="1"/>
      <c r="D19" s="1"/>
      <c r="E19" s="1"/>
      <c r="F19" s="1"/>
    </row>
    <row r="20" spans="1:6" ht="15.95" customHeight="1" x14ac:dyDescent="0.25">
      <c r="A20" s="1"/>
      <c r="B20" s="195" t="s">
        <v>166</v>
      </c>
      <c r="C20" s="195"/>
      <c r="D20" s="195"/>
      <c r="E20" s="195"/>
      <c r="F20" s="196">
        <f>+F17/12</f>
        <v>140483.33333333334</v>
      </c>
    </row>
    <row r="21" spans="1:6" ht="15.95" customHeight="1" x14ac:dyDescent="0.25">
      <c r="A21" s="1"/>
      <c r="B21" s="1"/>
      <c r="C21" s="1"/>
      <c r="D21" s="1"/>
      <c r="E21" s="1"/>
      <c r="F21" s="2"/>
    </row>
    <row r="22" spans="1:6" ht="15.95" customHeight="1" x14ac:dyDescent="0.25">
      <c r="A22" s="1"/>
      <c r="B22" s="19" t="s">
        <v>754</v>
      </c>
      <c r="C22" s="19" t="s">
        <v>335</v>
      </c>
      <c r="D22" s="2">
        <f>+F20</f>
        <v>140483.33333333334</v>
      </c>
      <c r="E22" s="28" t="s">
        <v>333</v>
      </c>
      <c r="F22" s="2">
        <f>+D22*10-0.01</f>
        <v>1404833.3233333335</v>
      </c>
    </row>
    <row r="23" spans="1:6" ht="15.95" customHeight="1" x14ac:dyDescent="0.25">
      <c r="A23" s="1"/>
      <c r="B23" s="19"/>
      <c r="C23" s="19"/>
      <c r="D23" s="2"/>
      <c r="E23" s="19"/>
      <c r="F23" s="2"/>
    </row>
    <row r="24" spans="1:6" ht="15.95" customHeight="1" x14ac:dyDescent="0.25">
      <c r="A24" s="1"/>
      <c r="B24" s="19" t="s">
        <v>755</v>
      </c>
      <c r="C24" s="19" t="s">
        <v>336</v>
      </c>
      <c r="D24" s="2">
        <f>+F20</f>
        <v>140483.33333333334</v>
      </c>
      <c r="E24" s="28" t="s">
        <v>334</v>
      </c>
      <c r="F24" s="2">
        <f>+F17-F22</f>
        <v>280966.67666666652</v>
      </c>
    </row>
    <row r="25" spans="1:6" ht="15.95" customHeight="1" x14ac:dyDescent="0.25">
      <c r="A25" s="1"/>
      <c r="B25" s="1"/>
      <c r="C25" s="19"/>
      <c r="D25" s="2"/>
      <c r="E25" s="1"/>
      <c r="F25" s="1"/>
    </row>
    <row r="26" spans="1:6" ht="15.95" customHeight="1" x14ac:dyDescent="0.25">
      <c r="A26" s="1"/>
      <c r="B26" s="1"/>
      <c r="C26" s="19"/>
      <c r="D26" s="2"/>
      <c r="E26" s="1"/>
      <c r="F26" s="1"/>
    </row>
    <row r="27" spans="1:6" ht="15.95" customHeight="1" x14ac:dyDescent="0.25">
      <c r="A27" s="1"/>
      <c r="B27" s="1"/>
      <c r="C27" s="19"/>
      <c r="D27" s="2"/>
      <c r="E27" s="1"/>
      <c r="F27" s="1"/>
    </row>
    <row r="28" spans="1:6" ht="18" customHeight="1" x14ac:dyDescent="0.25">
      <c r="A28" s="1"/>
      <c r="B28" s="71" t="s">
        <v>756</v>
      </c>
      <c r="C28" s="71"/>
      <c r="D28" s="71"/>
      <c r="E28" s="71"/>
      <c r="F28" s="2">
        <v>140483.32999999999</v>
      </c>
    </row>
    <row r="29" spans="1:6" ht="18" customHeight="1" x14ac:dyDescent="0.25">
      <c r="A29" s="1"/>
      <c r="B29" s="71" t="s">
        <v>757</v>
      </c>
      <c r="C29" s="71"/>
      <c r="D29" s="71"/>
      <c r="E29" s="71"/>
      <c r="F29" s="2">
        <v>140483.32999999999</v>
      </c>
    </row>
    <row r="30" spans="1:6" ht="18" customHeight="1" x14ac:dyDescent="0.25">
      <c r="A30" s="1"/>
      <c r="B30" s="71" t="s">
        <v>759</v>
      </c>
      <c r="C30" s="3"/>
      <c r="D30" s="3"/>
      <c r="E30" s="3"/>
      <c r="F30" s="2">
        <v>140483.32999999999</v>
      </c>
    </row>
    <row r="31" spans="1:6" ht="18" customHeight="1" x14ac:dyDescent="0.25">
      <c r="A31" s="1"/>
      <c r="B31" s="1" t="s">
        <v>758</v>
      </c>
      <c r="C31" s="3"/>
      <c r="D31" s="3"/>
      <c r="E31" s="3"/>
      <c r="F31" s="2">
        <v>140483.32999999999</v>
      </c>
    </row>
    <row r="32" spans="1:6" ht="18" customHeight="1" x14ac:dyDescent="0.4">
      <c r="A32" s="1"/>
      <c r="B32" s="3" t="s">
        <v>760</v>
      </c>
      <c r="C32" s="3"/>
      <c r="D32" s="3"/>
      <c r="E32" s="3"/>
      <c r="F32" s="216">
        <v>140483.32999999999</v>
      </c>
    </row>
    <row r="33" spans="1:7" ht="18" hidden="1" customHeight="1" x14ac:dyDescent="0.25">
      <c r="A33" s="1"/>
      <c r="B33" s="1" t="s">
        <v>438</v>
      </c>
      <c r="C33" s="71"/>
      <c r="D33" s="71"/>
      <c r="E33" s="71"/>
      <c r="F33" s="59"/>
    </row>
    <row r="34" spans="1:7" ht="18" hidden="1" customHeight="1" x14ac:dyDescent="0.25">
      <c r="A34" s="1"/>
      <c r="B34" s="1" t="s">
        <v>761</v>
      </c>
      <c r="C34" s="71"/>
      <c r="D34" s="71"/>
      <c r="E34" s="71"/>
      <c r="F34" s="59"/>
    </row>
    <row r="35" spans="1:7" ht="18" hidden="1" customHeight="1" x14ac:dyDescent="0.25">
      <c r="A35" s="1"/>
      <c r="B35" s="1" t="s">
        <v>762</v>
      </c>
      <c r="C35" s="71"/>
      <c r="D35" s="71"/>
      <c r="E35" s="71"/>
      <c r="F35" s="59"/>
    </row>
    <row r="36" spans="1:7" ht="18" hidden="1" customHeight="1" x14ac:dyDescent="0.25">
      <c r="A36" s="1"/>
      <c r="B36" s="1" t="s">
        <v>763</v>
      </c>
      <c r="C36" s="1"/>
      <c r="D36" s="1"/>
      <c r="E36" s="1"/>
      <c r="F36" s="59"/>
    </row>
    <row r="37" spans="1:7" ht="18" hidden="1" customHeight="1" x14ac:dyDescent="0.25">
      <c r="A37" s="1"/>
      <c r="B37" s="1" t="s">
        <v>764</v>
      </c>
      <c r="C37" s="71"/>
      <c r="D37" s="71"/>
      <c r="E37" s="71"/>
      <c r="F37" s="59"/>
    </row>
    <row r="38" spans="1:7" ht="18" hidden="1" customHeight="1" x14ac:dyDescent="0.25">
      <c r="A38" s="1"/>
      <c r="B38" s="1" t="s">
        <v>766</v>
      </c>
      <c r="C38" s="71"/>
      <c r="D38" s="71"/>
      <c r="E38" s="71"/>
      <c r="F38" s="59"/>
    </row>
    <row r="39" spans="1:7" ht="18" hidden="1" x14ac:dyDescent="0.4">
      <c r="A39" s="1"/>
      <c r="B39" s="1" t="s">
        <v>765</v>
      </c>
      <c r="C39" s="1"/>
      <c r="D39" s="1"/>
      <c r="E39" s="1"/>
      <c r="F39" s="105"/>
    </row>
    <row r="40" spans="1:7" ht="15.75" hidden="1" customHeight="1" x14ac:dyDescent="0.25">
      <c r="A40" s="1"/>
      <c r="B40" s="1" t="s">
        <v>332</v>
      </c>
      <c r="C40" s="71"/>
      <c r="D40" s="71"/>
      <c r="E40" s="71"/>
      <c r="F40" s="2"/>
    </row>
    <row r="41" spans="1:7" ht="15.75" hidden="1" customHeight="1" x14ac:dyDescent="0.25">
      <c r="A41" s="1"/>
      <c r="B41" s="1"/>
      <c r="C41" s="71"/>
      <c r="D41" s="71"/>
      <c r="E41" s="71"/>
      <c r="F41" s="2"/>
    </row>
    <row r="42" spans="1:7" ht="18" customHeight="1" x14ac:dyDescent="0.25">
      <c r="A42" s="1"/>
      <c r="B42" s="146" t="s">
        <v>235</v>
      </c>
      <c r="C42" s="71"/>
      <c r="D42" s="71"/>
      <c r="E42" s="71"/>
      <c r="F42" s="69">
        <f>SUM(F28:F40)+0</f>
        <v>702416.64999999991</v>
      </c>
      <c r="G42" s="20"/>
    </row>
    <row r="43" spans="1:7" ht="15.95" customHeight="1" x14ac:dyDescent="0.25">
      <c r="A43" s="1"/>
      <c r="B43" s="71"/>
      <c r="C43" s="71"/>
      <c r="D43" s="71"/>
      <c r="E43" s="71"/>
      <c r="F43" s="59"/>
    </row>
    <row r="44" spans="1:7" ht="23.25" customHeight="1" x14ac:dyDescent="0.4">
      <c r="A44" s="1"/>
      <c r="B44" s="146" t="s">
        <v>150</v>
      </c>
      <c r="C44" s="146"/>
      <c r="D44" s="146"/>
      <c r="E44" s="146"/>
      <c r="F44" s="217">
        <f>+F14-F42</f>
        <v>983383.35000000009</v>
      </c>
      <c r="G44" s="16"/>
    </row>
    <row r="45" spans="1:7" ht="15.95" customHeight="1" x14ac:dyDescent="0.25">
      <c r="A45" s="1"/>
      <c r="B45" s="71"/>
      <c r="C45" s="71"/>
      <c r="D45" s="71"/>
      <c r="E45" s="71"/>
      <c r="F45" s="59"/>
    </row>
    <row r="46" spans="1:7" ht="24.75" customHeight="1" x14ac:dyDescent="0.25">
      <c r="A46" s="1"/>
      <c r="B46" s="71"/>
      <c r="C46" s="71" t="s">
        <v>445</v>
      </c>
      <c r="D46" s="218">
        <f>+F35</f>
        <v>0</v>
      </c>
      <c r="E46" s="71"/>
    </row>
    <row r="47" spans="1:7" ht="24.75" customHeight="1" x14ac:dyDescent="0.25">
      <c r="A47" s="1"/>
      <c r="B47" s="71"/>
      <c r="C47" s="219" t="s">
        <v>446</v>
      </c>
      <c r="D47" s="220">
        <f>+'NOTA 5 LICENCIAS JIRA'!F31</f>
        <v>74166.67</v>
      </c>
      <c r="E47" s="71"/>
    </row>
    <row r="48" spans="1:7" ht="24.75" customHeight="1" x14ac:dyDescent="0.25">
      <c r="C48" s="219" t="s">
        <v>486</v>
      </c>
      <c r="D48" s="220">
        <f>+'NOTA 5 Licencias Adobe'!F30</f>
        <v>27433.334166666667</v>
      </c>
      <c r="F48" s="221">
        <f>+F44+F35</f>
        <v>983383.35000000009</v>
      </c>
    </row>
    <row r="49" spans="3:6" ht="24.75" customHeight="1" thickBot="1" x14ac:dyDescent="0.3">
      <c r="C49" s="219" t="s">
        <v>169</v>
      </c>
      <c r="D49" s="222">
        <f>SUM(D46:D48)</f>
        <v>101600.00416666667</v>
      </c>
      <c r="F49" s="221"/>
    </row>
    <row r="50" spans="3:6" ht="24.75" customHeight="1" thickTop="1" x14ac:dyDescent="0.25">
      <c r="F50" s="221"/>
    </row>
    <row r="51" spans="3:6" ht="24.75" customHeight="1" x14ac:dyDescent="0.25">
      <c r="D51" s="223">
        <v>329200.01</v>
      </c>
      <c r="F51" s="221"/>
    </row>
    <row r="52" spans="3:6" ht="24.75" customHeight="1" x14ac:dyDescent="0.25">
      <c r="F52" s="223"/>
    </row>
    <row r="53" spans="3:6" ht="24.75" customHeight="1" x14ac:dyDescent="0.25">
      <c r="D53" s="221">
        <f>+D49+D51</f>
        <v>430800.01416666666</v>
      </c>
      <c r="F53" s="221"/>
    </row>
    <row r="54" spans="3:6" ht="24.75" customHeight="1" x14ac:dyDescent="0.25">
      <c r="F54" s="223"/>
    </row>
    <row r="56" spans="3:6" ht="24.75" customHeight="1" x14ac:dyDescent="0.25">
      <c r="D56" s="221"/>
    </row>
    <row r="57" spans="3:6" ht="24.75" customHeight="1" x14ac:dyDescent="0.25">
      <c r="D57" s="221"/>
    </row>
  </sheetData>
  <mergeCells count="7">
    <mergeCell ref="B10:F10"/>
    <mergeCell ref="B3:F3"/>
    <mergeCell ref="B4:F4"/>
    <mergeCell ref="B5:F5"/>
    <mergeCell ref="B6:F6"/>
    <mergeCell ref="B8:F8"/>
    <mergeCell ref="B9:F9"/>
  </mergeCells>
  <phoneticPr fontId="32" type="noConversion"/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A74F-8E1F-4C20-B40A-9CF8D7BFFBCF}">
  <sheetPr>
    <pageSetUpPr fitToPage="1"/>
  </sheetPr>
  <dimension ref="B5:F48"/>
  <sheetViews>
    <sheetView workbookViewId="0">
      <selection activeCell="C15" sqref="A1:C15"/>
    </sheetView>
  </sheetViews>
  <sheetFormatPr baseColWidth="10" defaultRowHeight="12.75" x14ac:dyDescent="0.2"/>
  <cols>
    <col min="1" max="1" width="2.5703125" style="142" customWidth="1"/>
    <col min="2" max="2" width="34.7109375" style="142" bestFit="1" customWidth="1"/>
    <col min="3" max="3" width="27.85546875" style="142" bestFit="1" customWidth="1"/>
    <col min="4" max="4" width="14.140625" style="142" bestFit="1" customWidth="1"/>
    <col min="5" max="5" width="11.42578125" style="142"/>
    <col min="6" max="6" width="16" style="142" bestFit="1" customWidth="1"/>
    <col min="7" max="16384" width="11.42578125" style="142"/>
  </cols>
  <sheetData>
    <row r="5" spans="2:6" ht="18.75" x14ac:dyDescent="0.3">
      <c r="B5" s="480" t="s">
        <v>181</v>
      </c>
      <c r="C5" s="480"/>
      <c r="D5" s="480"/>
      <c r="E5" s="480"/>
      <c r="F5" s="480"/>
    </row>
    <row r="6" spans="2:6" ht="18.75" x14ac:dyDescent="0.3">
      <c r="B6" s="480" t="s">
        <v>170</v>
      </c>
      <c r="C6" s="480"/>
      <c r="D6" s="480"/>
      <c r="E6" s="480"/>
      <c r="F6" s="480"/>
    </row>
    <row r="7" spans="2:6" ht="15.75" x14ac:dyDescent="0.25">
      <c r="B7" s="484" t="s">
        <v>439</v>
      </c>
      <c r="C7" s="484"/>
      <c r="D7" s="484"/>
      <c r="E7" s="484"/>
      <c r="F7" s="484"/>
    </row>
    <row r="8" spans="2:6" ht="15.75" x14ac:dyDescent="0.25">
      <c r="B8" s="508">
        <v>45504</v>
      </c>
      <c r="C8" s="508"/>
      <c r="D8" s="508"/>
      <c r="E8" s="508"/>
      <c r="F8" s="508"/>
    </row>
    <row r="9" spans="2:6" ht="15.75" x14ac:dyDescent="0.25">
      <c r="B9" s="1"/>
      <c r="C9" s="1"/>
      <c r="D9" s="1"/>
      <c r="E9" s="1"/>
      <c r="F9" s="1"/>
    </row>
    <row r="10" spans="2:6" ht="15.75" x14ac:dyDescent="0.25">
      <c r="B10" s="485" t="s">
        <v>440</v>
      </c>
      <c r="C10" s="485"/>
      <c r="D10" s="485"/>
      <c r="E10" s="485"/>
      <c r="F10" s="485"/>
    </row>
    <row r="11" spans="2:6" ht="15.75" x14ac:dyDescent="0.25">
      <c r="B11" s="485" t="s">
        <v>549</v>
      </c>
      <c r="C11" s="485"/>
      <c r="D11" s="485"/>
      <c r="E11" s="485"/>
      <c r="F11" s="485"/>
    </row>
    <row r="12" spans="2:6" ht="15.75" x14ac:dyDescent="0.25">
      <c r="B12" s="485" t="s">
        <v>454</v>
      </c>
      <c r="C12" s="485"/>
      <c r="D12" s="485"/>
      <c r="E12" s="485"/>
      <c r="F12" s="485"/>
    </row>
    <row r="13" spans="2:6" ht="16.5" thickBot="1" x14ac:dyDescent="0.3">
      <c r="B13" s="1"/>
      <c r="C13" s="1"/>
      <c r="D13" s="1"/>
      <c r="E13" s="1"/>
      <c r="F13" s="1"/>
    </row>
    <row r="14" spans="2:6" ht="16.5" thickBot="1" x14ac:dyDescent="0.3">
      <c r="B14" s="199" t="s">
        <v>178</v>
      </c>
      <c r="C14" s="200"/>
      <c r="D14" s="200" t="s">
        <v>314</v>
      </c>
      <c r="E14" s="200"/>
      <c r="F14" s="201" t="s">
        <v>315</v>
      </c>
    </row>
    <row r="15" spans="2:6" ht="20.25" customHeight="1" x14ac:dyDescent="0.4">
      <c r="B15" s="224" t="s">
        <v>452</v>
      </c>
      <c r="C15" s="203"/>
      <c r="D15" s="204" t="s">
        <v>257</v>
      </c>
      <c r="E15" s="203"/>
      <c r="F15" s="205">
        <v>890000</v>
      </c>
    </row>
    <row r="16" spans="2:6" ht="18.75" thickBot="1" x14ac:dyDescent="0.45">
      <c r="B16" s="206" t="s">
        <v>126</v>
      </c>
      <c r="C16" s="207"/>
      <c r="D16" s="207"/>
      <c r="E16" s="207"/>
      <c r="F16" s="208">
        <f>SUM(F15:F15)</f>
        <v>890000</v>
      </c>
    </row>
    <row r="17" spans="2:6" ht="16.5" thickBot="1" x14ac:dyDescent="0.3">
      <c r="B17" s="1"/>
      <c r="C17" s="1"/>
      <c r="D17" s="1"/>
      <c r="E17" s="1"/>
      <c r="F17" s="1"/>
    </row>
    <row r="18" spans="2:6" ht="16.5" thickBot="1" x14ac:dyDescent="0.3">
      <c r="B18" s="199" t="s">
        <v>132</v>
      </c>
      <c r="C18" s="200" t="s">
        <v>258</v>
      </c>
      <c r="D18" s="200"/>
      <c r="E18" s="200" t="s">
        <v>259</v>
      </c>
      <c r="F18" s="201" t="s">
        <v>133</v>
      </c>
    </row>
    <row r="19" spans="2:6" ht="15.75" x14ac:dyDescent="0.25">
      <c r="B19" s="226" t="s">
        <v>421</v>
      </c>
      <c r="C19" s="227" t="s">
        <v>441</v>
      </c>
      <c r="D19" s="228"/>
      <c r="E19" s="229">
        <v>45145</v>
      </c>
      <c r="F19" s="230">
        <v>890000</v>
      </c>
    </row>
    <row r="20" spans="2:6" ht="18.75" thickBot="1" x14ac:dyDescent="0.45">
      <c r="B20" s="231"/>
      <c r="C20" s="232"/>
      <c r="D20" s="232"/>
      <c r="E20" s="233"/>
      <c r="F20" s="234"/>
    </row>
    <row r="21" spans="2:6" ht="15.75" x14ac:dyDescent="0.25">
      <c r="B21" s="1"/>
      <c r="C21" s="1"/>
      <c r="D21" s="1"/>
      <c r="E21" s="1"/>
      <c r="F21" s="1"/>
    </row>
    <row r="22" spans="2:6" ht="15.75" x14ac:dyDescent="0.25">
      <c r="B22" s="195" t="s">
        <v>166</v>
      </c>
      <c r="C22" s="195"/>
      <c r="D22" s="195"/>
      <c r="E22" s="195"/>
      <c r="F22" s="196">
        <f>+F19/12</f>
        <v>74166.666666666672</v>
      </c>
    </row>
    <row r="23" spans="2:6" ht="15.75" x14ac:dyDescent="0.25">
      <c r="B23" s="1"/>
      <c r="C23" s="1"/>
      <c r="D23" s="1"/>
      <c r="E23" s="1"/>
      <c r="F23" s="2"/>
    </row>
    <row r="24" spans="2:6" ht="15.75" x14ac:dyDescent="0.25">
      <c r="B24" s="225" t="s">
        <v>427</v>
      </c>
      <c r="C24" s="19" t="s">
        <v>422</v>
      </c>
      <c r="D24" s="2">
        <f>+F22</f>
        <v>74166.666666666672</v>
      </c>
      <c r="E24" s="28" t="s">
        <v>423</v>
      </c>
      <c r="F24" s="2">
        <f>+F22*4</f>
        <v>296666.66666666669</v>
      </c>
    </row>
    <row r="25" spans="2:6" ht="15.75" x14ac:dyDescent="0.25">
      <c r="B25" s="19"/>
      <c r="C25" s="19"/>
      <c r="D25" s="2"/>
      <c r="E25" s="19"/>
      <c r="F25" s="2"/>
    </row>
    <row r="26" spans="2:6" ht="15.75" x14ac:dyDescent="0.25">
      <c r="B26" s="225" t="s">
        <v>426</v>
      </c>
      <c r="C26" s="19" t="s">
        <v>425</v>
      </c>
      <c r="D26" s="2">
        <f>+F22</f>
        <v>74166.666666666672</v>
      </c>
      <c r="E26" s="28" t="s">
        <v>424</v>
      </c>
      <c r="F26" s="2">
        <f>+F19-F24</f>
        <v>593333.33333333326</v>
      </c>
    </row>
    <row r="27" spans="2:6" ht="15.75" x14ac:dyDescent="0.25">
      <c r="B27" s="1"/>
      <c r="C27" s="19"/>
      <c r="D27" s="2"/>
      <c r="E27" s="1"/>
      <c r="F27" s="1"/>
    </row>
    <row r="28" spans="2:6" ht="15.75" x14ac:dyDescent="0.25">
      <c r="B28" s="1"/>
      <c r="C28" s="19"/>
      <c r="D28" s="2"/>
      <c r="E28" s="1"/>
      <c r="F28" s="1"/>
    </row>
    <row r="29" spans="2:6" ht="15.75" x14ac:dyDescent="0.25">
      <c r="B29" s="1"/>
      <c r="C29" s="19"/>
      <c r="D29" s="2"/>
      <c r="E29" s="1"/>
      <c r="F29" s="1"/>
    </row>
    <row r="30" spans="2:6" ht="15.75" x14ac:dyDescent="0.25">
      <c r="B30" s="71" t="s">
        <v>428</v>
      </c>
      <c r="C30" s="71"/>
      <c r="D30" s="71"/>
      <c r="E30" s="71"/>
      <c r="F30" s="2">
        <v>74166.67</v>
      </c>
    </row>
    <row r="31" spans="2:6" ht="15.75" x14ac:dyDescent="0.25">
      <c r="B31" s="71" t="s">
        <v>429</v>
      </c>
      <c r="C31" s="71"/>
      <c r="D31" s="71"/>
      <c r="E31" s="71"/>
      <c r="F31" s="2">
        <v>74166.67</v>
      </c>
    </row>
    <row r="32" spans="2:6" ht="15.75" x14ac:dyDescent="0.25">
      <c r="B32" s="71" t="s">
        <v>430</v>
      </c>
      <c r="C32" s="3"/>
      <c r="D32" s="3"/>
      <c r="E32" s="3"/>
      <c r="F32" s="2">
        <v>74166.67</v>
      </c>
    </row>
    <row r="33" spans="2:6" ht="15.75" x14ac:dyDescent="0.25">
      <c r="B33" s="1" t="s">
        <v>431</v>
      </c>
      <c r="C33" s="3"/>
      <c r="D33" s="3"/>
      <c r="E33" s="3"/>
      <c r="F33" s="2">
        <v>74166.67</v>
      </c>
    </row>
    <row r="34" spans="2:6" ht="15.75" x14ac:dyDescent="0.25">
      <c r="B34" s="1" t="s">
        <v>432</v>
      </c>
      <c r="C34" s="3"/>
      <c r="D34" s="3"/>
      <c r="E34" s="3"/>
      <c r="F34" s="2">
        <v>74166.67</v>
      </c>
    </row>
    <row r="35" spans="2:6" ht="15.75" x14ac:dyDescent="0.25">
      <c r="B35" s="1" t="s">
        <v>332</v>
      </c>
      <c r="C35" s="71"/>
      <c r="D35" s="71"/>
      <c r="E35" s="71"/>
      <c r="F35" s="2">
        <v>74166.67</v>
      </c>
    </row>
    <row r="36" spans="2:6" ht="15.75" x14ac:dyDescent="0.25">
      <c r="B36" s="1" t="s">
        <v>433</v>
      </c>
      <c r="C36" s="71"/>
      <c r="D36" s="71"/>
      <c r="E36" s="71"/>
      <c r="F36" s="2">
        <v>74166.67</v>
      </c>
    </row>
    <row r="37" spans="2:6" ht="15.75" x14ac:dyDescent="0.25">
      <c r="B37" s="1" t="s">
        <v>434</v>
      </c>
      <c r="C37" s="71"/>
      <c r="D37" s="71"/>
      <c r="E37" s="71"/>
      <c r="F37" s="2">
        <v>74166.67</v>
      </c>
    </row>
    <row r="38" spans="2:6" ht="15.75" x14ac:dyDescent="0.25">
      <c r="B38" s="1" t="s">
        <v>435</v>
      </c>
      <c r="C38" s="71"/>
      <c r="D38" s="71"/>
      <c r="E38" s="71"/>
      <c r="F38" s="2">
        <v>74166.67</v>
      </c>
    </row>
    <row r="39" spans="2:6" ht="15.75" x14ac:dyDescent="0.25">
      <c r="B39" s="1" t="s">
        <v>436</v>
      </c>
      <c r="C39" s="71"/>
      <c r="D39" s="71"/>
      <c r="E39" s="71"/>
      <c r="F39" s="2">
        <v>74166.67</v>
      </c>
    </row>
    <row r="40" spans="2:6" ht="15.75" x14ac:dyDescent="0.25">
      <c r="B40" s="3" t="s">
        <v>437</v>
      </c>
      <c r="C40" s="1"/>
      <c r="D40" s="1"/>
      <c r="E40" s="1"/>
      <c r="F40" s="31">
        <v>74166.67</v>
      </c>
    </row>
    <row r="41" spans="2:6" ht="18" x14ac:dyDescent="0.4">
      <c r="B41" s="3" t="s">
        <v>438</v>
      </c>
      <c r="C41" s="71"/>
      <c r="D41" s="71"/>
      <c r="E41" s="71"/>
      <c r="F41" s="216">
        <v>74166.63</v>
      </c>
    </row>
    <row r="42" spans="2:6" ht="15.75" x14ac:dyDescent="0.25">
      <c r="B42" s="146" t="s">
        <v>235</v>
      </c>
      <c r="C42" s="71"/>
      <c r="D42" s="71"/>
      <c r="E42" s="71"/>
      <c r="F42" s="69">
        <f>SUM(F30:F41)+0</f>
        <v>890000.00000000012</v>
      </c>
    </row>
    <row r="43" spans="2:6" ht="15.75" x14ac:dyDescent="0.25">
      <c r="B43" s="71"/>
      <c r="C43" s="71"/>
      <c r="D43" s="71"/>
      <c r="E43" s="71"/>
      <c r="F43" s="59"/>
    </row>
    <row r="44" spans="2:6" ht="18" x14ac:dyDescent="0.4">
      <c r="B44" s="146" t="s">
        <v>150</v>
      </c>
      <c r="C44" s="146"/>
      <c r="D44" s="146"/>
      <c r="E44" s="146"/>
      <c r="F44" s="217">
        <f>+F16-F42+900000</f>
        <v>899999.99999999988</v>
      </c>
    </row>
    <row r="45" spans="2:6" ht="15.75" x14ac:dyDescent="0.25">
      <c r="B45" s="71"/>
      <c r="C45" s="71"/>
      <c r="D45" s="71"/>
      <c r="E45" s="71"/>
      <c r="F45" s="59"/>
    </row>
    <row r="48" spans="2:6" x14ac:dyDescent="0.2">
      <c r="F48" s="167"/>
    </row>
  </sheetData>
  <mergeCells count="7">
    <mergeCell ref="B12:F12"/>
    <mergeCell ref="B5:F5"/>
    <mergeCell ref="B6:F6"/>
    <mergeCell ref="B7:F7"/>
    <mergeCell ref="B8:F8"/>
    <mergeCell ref="B10:F10"/>
    <mergeCell ref="B11:F11"/>
  </mergeCells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1FF52-5988-4C72-9C49-0BCD245B7714}">
  <dimension ref="B5:I50"/>
  <sheetViews>
    <sheetView workbookViewId="0">
      <selection activeCell="C15" sqref="A1:C15"/>
    </sheetView>
  </sheetViews>
  <sheetFormatPr baseColWidth="10" defaultRowHeight="12.75" x14ac:dyDescent="0.2"/>
  <cols>
    <col min="1" max="1" width="2.5703125" style="142" customWidth="1"/>
    <col min="2" max="2" width="33" style="142" bestFit="1" customWidth="1"/>
    <col min="3" max="3" width="15.28515625" style="142" customWidth="1"/>
    <col min="4" max="4" width="14.7109375" style="142" customWidth="1"/>
    <col min="5" max="5" width="11.42578125" style="142"/>
    <col min="6" max="6" width="16" style="142" bestFit="1" customWidth="1"/>
    <col min="7" max="16384" width="11.42578125" style="142"/>
  </cols>
  <sheetData>
    <row r="5" spans="2:9" ht="18.75" x14ac:dyDescent="0.3">
      <c r="B5" s="480" t="s">
        <v>181</v>
      </c>
      <c r="C5" s="480"/>
      <c r="D5" s="480"/>
      <c r="E5" s="480"/>
      <c r="F5" s="480"/>
    </row>
    <row r="6" spans="2:9" ht="18.75" x14ac:dyDescent="0.3">
      <c r="B6" s="480" t="s">
        <v>170</v>
      </c>
      <c r="C6" s="480"/>
      <c r="D6" s="480"/>
      <c r="E6" s="480"/>
      <c r="F6" s="480"/>
    </row>
    <row r="7" spans="2:9" ht="15.75" x14ac:dyDescent="0.25">
      <c r="B7" s="484" t="s">
        <v>493</v>
      </c>
      <c r="C7" s="484"/>
      <c r="D7" s="484"/>
      <c r="E7" s="484"/>
      <c r="F7" s="484"/>
    </row>
    <row r="8" spans="2:9" ht="15.75" x14ac:dyDescent="0.25">
      <c r="B8" s="508">
        <v>45504</v>
      </c>
      <c r="C8" s="508"/>
      <c r="D8" s="508"/>
      <c r="E8" s="508"/>
      <c r="F8" s="508"/>
    </row>
    <row r="9" spans="2:9" ht="15.75" x14ac:dyDescent="0.25">
      <c r="B9" s="1"/>
      <c r="C9" s="1"/>
      <c r="D9" s="1"/>
      <c r="E9" s="1"/>
      <c r="F9" s="1"/>
    </row>
    <row r="10" spans="2:9" ht="15.75" x14ac:dyDescent="0.25">
      <c r="B10" s="485" t="s">
        <v>494</v>
      </c>
      <c r="C10" s="485"/>
      <c r="D10" s="485"/>
      <c r="E10" s="485"/>
      <c r="F10" s="485"/>
    </row>
    <row r="11" spans="2:9" ht="15.75" x14ac:dyDescent="0.25">
      <c r="B11" s="485" t="s">
        <v>550</v>
      </c>
      <c r="C11" s="485"/>
      <c r="D11" s="485"/>
      <c r="E11" s="485"/>
      <c r="F11" s="485"/>
    </row>
    <row r="12" spans="2:9" ht="15.75" x14ac:dyDescent="0.25">
      <c r="B12" s="484" t="s">
        <v>495</v>
      </c>
      <c r="C12" s="484"/>
      <c r="D12" s="484"/>
      <c r="E12" s="484"/>
      <c r="F12" s="484"/>
      <c r="I12" s="297"/>
    </row>
    <row r="13" spans="2:9" ht="16.5" thickBot="1" x14ac:dyDescent="0.3">
      <c r="B13" s="1"/>
      <c r="C13" s="1"/>
      <c r="D13" s="1"/>
      <c r="E13" s="1"/>
      <c r="F13" s="1"/>
      <c r="I13" s="296"/>
    </row>
    <row r="14" spans="2:9" ht="16.5" thickBot="1" x14ac:dyDescent="0.3">
      <c r="B14" s="199" t="s">
        <v>178</v>
      </c>
      <c r="C14" s="200" t="s">
        <v>258</v>
      </c>
      <c r="D14" s="200" t="s">
        <v>314</v>
      </c>
      <c r="E14" s="200"/>
      <c r="F14" s="201" t="s">
        <v>315</v>
      </c>
      <c r="I14" s="296"/>
    </row>
    <row r="15" spans="2:9" ht="18" x14ac:dyDescent="0.4">
      <c r="B15" s="224" t="s">
        <v>537</v>
      </c>
      <c r="C15" s="235" t="s">
        <v>479</v>
      </c>
      <c r="D15" s="204" t="s">
        <v>257</v>
      </c>
      <c r="E15" s="203"/>
      <c r="F15" s="205">
        <v>329200.01</v>
      </c>
    </row>
    <row r="16" spans="2:9" ht="18.75" thickBot="1" x14ac:dyDescent="0.45">
      <c r="B16" s="206" t="s">
        <v>126</v>
      </c>
      <c r="C16" s="207"/>
      <c r="D16" s="207"/>
      <c r="E16" s="207"/>
      <c r="F16" s="208">
        <f>SUM(F15:F15)</f>
        <v>329200.01</v>
      </c>
    </row>
    <row r="17" spans="2:6" ht="13.5" thickBot="1" x14ac:dyDescent="0.25"/>
    <row r="18" spans="2:6" ht="16.5" thickBot="1" x14ac:dyDescent="0.3">
      <c r="B18" s="199" t="s">
        <v>132</v>
      </c>
      <c r="C18" s="200" t="s">
        <v>258</v>
      </c>
      <c r="D18" s="200"/>
      <c r="E18" s="200" t="s">
        <v>259</v>
      </c>
      <c r="F18" s="201" t="s">
        <v>133</v>
      </c>
    </row>
    <row r="19" spans="2:6" ht="15.75" x14ac:dyDescent="0.25">
      <c r="B19" s="209" t="s">
        <v>447</v>
      </c>
      <c r="C19" s="236" t="s">
        <v>489</v>
      </c>
      <c r="D19" s="203"/>
      <c r="E19" s="237" t="s">
        <v>480</v>
      </c>
      <c r="F19" s="211">
        <f>+F16</f>
        <v>329200.01</v>
      </c>
    </row>
    <row r="21" spans="2:6" ht="15.75" x14ac:dyDescent="0.25">
      <c r="B21" s="195" t="s">
        <v>166</v>
      </c>
      <c r="C21" s="195"/>
      <c r="D21" s="195"/>
      <c r="E21" s="195"/>
      <c r="F21" s="196">
        <f>+F19/12</f>
        <v>27433.334166666667</v>
      </c>
    </row>
    <row r="22" spans="2:6" ht="15.75" x14ac:dyDescent="0.25">
      <c r="B22" s="1"/>
      <c r="C22" s="1"/>
      <c r="D22" s="1"/>
      <c r="E22" s="1"/>
      <c r="F22" s="2"/>
    </row>
    <row r="23" spans="2:6" ht="15.75" x14ac:dyDescent="0.25">
      <c r="B23" s="225" t="s">
        <v>481</v>
      </c>
      <c r="C23" s="19" t="s">
        <v>482</v>
      </c>
      <c r="D23" s="2">
        <f>+F21</f>
        <v>27433.334166666667</v>
      </c>
      <c r="E23" s="28" t="s">
        <v>423</v>
      </c>
      <c r="F23" s="2">
        <f>+F21*3</f>
        <v>82300.002500000002</v>
      </c>
    </row>
    <row r="24" spans="2:6" ht="15.75" x14ac:dyDescent="0.25">
      <c r="B24" s="19"/>
      <c r="C24" s="19"/>
      <c r="D24" s="2"/>
      <c r="E24" s="19"/>
      <c r="F24" s="2"/>
    </row>
    <row r="25" spans="2:6" ht="15.75" x14ac:dyDescent="0.25">
      <c r="B25" s="225" t="s">
        <v>538</v>
      </c>
      <c r="C25" s="19" t="s">
        <v>483</v>
      </c>
      <c r="D25" s="2">
        <f>+F21</f>
        <v>27433.334166666667</v>
      </c>
      <c r="E25" s="28" t="s">
        <v>484</v>
      </c>
      <c r="F25" s="2">
        <f>+F19-F23</f>
        <v>246900.00750000001</v>
      </c>
    </row>
    <row r="26" spans="2:6" ht="15.75" x14ac:dyDescent="0.25">
      <c r="B26" s="1"/>
      <c r="C26" s="19"/>
      <c r="D26" s="2"/>
      <c r="E26" s="1"/>
      <c r="F26" s="1"/>
    </row>
    <row r="27" spans="2:6" ht="15.75" x14ac:dyDescent="0.25">
      <c r="B27" s="1"/>
      <c r="C27" s="19"/>
      <c r="D27" s="2"/>
      <c r="E27" s="1"/>
      <c r="F27" s="1"/>
    </row>
    <row r="28" spans="2:6" ht="15.75" x14ac:dyDescent="0.25">
      <c r="B28" s="1"/>
      <c r="C28" s="19"/>
      <c r="D28" s="2"/>
      <c r="E28" s="1"/>
      <c r="F28" s="1"/>
    </row>
    <row r="29" spans="2:6" ht="15.75" x14ac:dyDescent="0.25">
      <c r="C29" s="71"/>
      <c r="D29" s="71"/>
      <c r="E29" s="71"/>
      <c r="F29" s="2"/>
    </row>
    <row r="30" spans="2:6" ht="15.75" x14ac:dyDescent="0.25">
      <c r="B30" s="71" t="s">
        <v>429</v>
      </c>
      <c r="C30" s="71"/>
      <c r="D30" s="71"/>
      <c r="E30" s="71"/>
      <c r="F30" s="2">
        <f>+F21</f>
        <v>27433.334166666667</v>
      </c>
    </row>
    <row r="31" spans="2:6" ht="15.75" x14ac:dyDescent="0.25">
      <c r="B31" s="1" t="s">
        <v>430</v>
      </c>
      <c r="C31" s="3"/>
      <c r="D31" s="3"/>
      <c r="E31" s="3"/>
      <c r="F31" s="2">
        <f t="shared" ref="F31:F39" si="0">+F30</f>
        <v>27433.334166666667</v>
      </c>
    </row>
    <row r="32" spans="2:6" ht="15.75" x14ac:dyDescent="0.25">
      <c r="B32" s="1" t="s">
        <v>431</v>
      </c>
      <c r="C32" s="3"/>
      <c r="D32" s="3"/>
      <c r="E32" s="3"/>
      <c r="F32" s="2">
        <f t="shared" si="0"/>
        <v>27433.334166666667</v>
      </c>
    </row>
    <row r="33" spans="2:6" ht="15.75" x14ac:dyDescent="0.25">
      <c r="B33" s="1" t="s">
        <v>432</v>
      </c>
      <c r="C33" s="3"/>
      <c r="D33" s="3"/>
      <c r="E33" s="3"/>
      <c r="F33" s="2">
        <f t="shared" si="0"/>
        <v>27433.334166666667</v>
      </c>
    </row>
    <row r="34" spans="2:6" ht="15.75" x14ac:dyDescent="0.25">
      <c r="B34" s="1" t="s">
        <v>588</v>
      </c>
      <c r="C34" s="71"/>
      <c r="D34" s="71"/>
      <c r="E34" s="71"/>
      <c r="F34" s="2">
        <f t="shared" si="0"/>
        <v>27433.334166666667</v>
      </c>
    </row>
    <row r="35" spans="2:6" ht="15.75" x14ac:dyDescent="0.25">
      <c r="B35" s="1" t="s">
        <v>433</v>
      </c>
      <c r="C35" s="71"/>
      <c r="D35" s="71"/>
      <c r="E35" s="71"/>
      <c r="F35" s="2">
        <f t="shared" si="0"/>
        <v>27433.334166666667</v>
      </c>
    </row>
    <row r="36" spans="2:6" ht="15.75" x14ac:dyDescent="0.25">
      <c r="B36" s="1" t="s">
        <v>434</v>
      </c>
      <c r="C36" s="71"/>
      <c r="D36" s="71"/>
      <c r="E36" s="71"/>
      <c r="F36" s="2">
        <f t="shared" si="0"/>
        <v>27433.334166666667</v>
      </c>
    </row>
    <row r="37" spans="2:6" ht="15.75" x14ac:dyDescent="0.25">
      <c r="B37" s="1" t="s">
        <v>435</v>
      </c>
      <c r="C37" s="71"/>
      <c r="D37" s="71"/>
      <c r="E37" s="71"/>
      <c r="F37" s="2">
        <f t="shared" si="0"/>
        <v>27433.334166666667</v>
      </c>
    </row>
    <row r="38" spans="2:6" ht="15.75" x14ac:dyDescent="0.25">
      <c r="B38" s="1" t="s">
        <v>436</v>
      </c>
      <c r="C38" s="71"/>
      <c r="D38" s="71"/>
      <c r="E38" s="71"/>
      <c r="F38" s="2">
        <f t="shared" si="0"/>
        <v>27433.334166666667</v>
      </c>
    </row>
    <row r="39" spans="2:6" ht="18" x14ac:dyDescent="0.4">
      <c r="B39" s="3" t="s">
        <v>437</v>
      </c>
      <c r="C39" s="1"/>
      <c r="D39" s="1"/>
      <c r="E39" s="1"/>
      <c r="F39" s="216">
        <f t="shared" si="0"/>
        <v>27433.334166666667</v>
      </c>
    </row>
    <row r="40" spans="2:6" ht="15.75" hidden="1" x14ac:dyDescent="0.25">
      <c r="B40" s="3" t="s">
        <v>438</v>
      </c>
      <c r="C40" s="71"/>
      <c r="D40" s="71"/>
      <c r="E40" s="71"/>
      <c r="F40" s="2"/>
    </row>
    <row r="41" spans="2:6" ht="15.75" hidden="1" x14ac:dyDescent="0.25">
      <c r="B41" s="3" t="s">
        <v>485</v>
      </c>
      <c r="C41" s="71"/>
      <c r="D41" s="71"/>
      <c r="E41" s="71"/>
      <c r="F41" s="2"/>
    </row>
    <row r="42" spans="2:6" ht="30.75" customHeight="1" x14ac:dyDescent="0.25">
      <c r="B42" s="146" t="s">
        <v>235</v>
      </c>
      <c r="C42" s="71"/>
      <c r="D42" s="71"/>
      <c r="E42" s="71"/>
      <c r="F42" s="69">
        <f>SUM(F29:F41)-0.01</f>
        <v>274333.33166666667</v>
      </c>
    </row>
    <row r="43" spans="2:6" ht="29.25" customHeight="1" thickBot="1" x14ac:dyDescent="0.35">
      <c r="B43" s="52" t="s">
        <v>487</v>
      </c>
      <c r="F43" s="238">
        <f>+F16-F42</f>
        <v>54866.678333333344</v>
      </c>
    </row>
    <row r="44" spans="2:6" ht="13.5" thickTop="1" x14ac:dyDescent="0.2"/>
    <row r="47" spans="2:6" x14ac:dyDescent="0.2">
      <c r="F47" s="167"/>
    </row>
    <row r="48" spans="2:6" x14ac:dyDescent="0.2">
      <c r="F48" s="167"/>
    </row>
    <row r="49" spans="6:6" x14ac:dyDescent="0.2">
      <c r="F49" s="167"/>
    </row>
    <row r="50" spans="6:6" x14ac:dyDescent="0.2">
      <c r="F50" s="167"/>
    </row>
  </sheetData>
  <mergeCells count="7">
    <mergeCell ref="B12:F12"/>
    <mergeCell ref="B5:F5"/>
    <mergeCell ref="B6:F6"/>
    <mergeCell ref="B7:F7"/>
    <mergeCell ref="B8:F8"/>
    <mergeCell ref="B10:F10"/>
    <mergeCell ref="B11:F11"/>
  </mergeCells>
  <pageMargins left="0.51181102362204722" right="0.5118110236220472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M54"/>
  <sheetViews>
    <sheetView topLeftCell="A8" zoomScale="85" zoomScaleNormal="85" workbookViewId="0">
      <selection activeCell="I25" sqref="I25"/>
    </sheetView>
  </sheetViews>
  <sheetFormatPr baseColWidth="10" defaultColWidth="9.140625" defaultRowHeight="15.75" x14ac:dyDescent="0.25"/>
  <cols>
    <col min="1" max="1" width="46.28515625" style="1" customWidth="1"/>
    <col min="2" max="2" width="10.42578125" style="1" customWidth="1"/>
    <col min="3" max="3" width="26" style="2" bestFit="1" customWidth="1"/>
    <col min="4" max="4" width="26.140625" style="2" customWidth="1"/>
    <col min="5" max="5" width="21.28515625" style="2" bestFit="1" customWidth="1"/>
    <col min="6" max="6" width="17.42578125" style="1" bestFit="1" customWidth="1"/>
    <col min="7" max="7" width="19.28515625" style="1" bestFit="1" customWidth="1"/>
    <col min="8" max="8" width="21.140625" style="1" customWidth="1"/>
    <col min="9" max="9" width="19.140625" style="1" bestFit="1" customWidth="1"/>
    <col min="10" max="16384" width="9.140625" style="1"/>
  </cols>
  <sheetData>
    <row r="1" spans="1:13" ht="24.75" customHeight="1" x14ac:dyDescent="0.25">
      <c r="A1" s="34"/>
      <c r="B1" s="34"/>
      <c r="C1" s="35"/>
      <c r="D1" s="35"/>
      <c r="E1" s="35"/>
    </row>
    <row r="2" spans="1:13" x14ac:dyDescent="0.25">
      <c r="A2" s="34"/>
      <c r="B2" s="34"/>
      <c r="C2" s="35"/>
      <c r="D2" s="35"/>
      <c r="E2" s="35"/>
    </row>
    <row r="3" spans="1:13" x14ac:dyDescent="0.25">
      <c r="A3" s="34"/>
      <c r="B3" s="34"/>
      <c r="C3" s="35"/>
      <c r="D3" s="35"/>
      <c r="E3" s="35"/>
    </row>
    <row r="4" spans="1:13" x14ac:dyDescent="0.25">
      <c r="A4" s="34"/>
      <c r="B4" s="34"/>
      <c r="C4" s="35"/>
      <c r="D4" s="35"/>
      <c r="E4" s="35"/>
    </row>
    <row r="5" spans="1:13" x14ac:dyDescent="0.25">
      <c r="A5" s="34"/>
      <c r="B5" s="34"/>
      <c r="C5" s="35"/>
      <c r="D5" s="35"/>
      <c r="E5" s="35"/>
    </row>
    <row r="6" spans="1:13" s="7" customFormat="1" ht="20.25" customHeight="1" x14ac:dyDescent="0.3">
      <c r="A6" s="480" t="s">
        <v>2</v>
      </c>
      <c r="B6" s="480"/>
      <c r="C6" s="480"/>
      <c r="D6" s="480"/>
      <c r="E6" s="480"/>
      <c r="I6" s="36"/>
      <c r="J6" s="36"/>
      <c r="K6" s="36"/>
      <c r="L6" s="36"/>
      <c r="M6" s="36"/>
    </row>
    <row r="7" spans="1:13" s="7" customFormat="1" ht="17.45" customHeight="1" x14ac:dyDescent="0.3">
      <c r="A7" s="481" t="s">
        <v>10</v>
      </c>
      <c r="B7" s="481"/>
      <c r="C7" s="481"/>
      <c r="D7" s="481"/>
      <c r="E7" s="481"/>
      <c r="I7" s="37"/>
      <c r="J7" s="37"/>
      <c r="K7" s="37"/>
      <c r="L7" s="37"/>
      <c r="M7" s="37"/>
    </row>
    <row r="8" spans="1:13" s="7" customFormat="1" ht="17.45" customHeight="1" x14ac:dyDescent="0.3">
      <c r="A8" s="482" t="s">
        <v>814</v>
      </c>
      <c r="B8" s="482"/>
      <c r="C8" s="482"/>
      <c r="D8" s="482"/>
      <c r="E8" s="482"/>
      <c r="I8" s="38"/>
      <c r="J8" s="38"/>
      <c r="K8" s="38"/>
      <c r="L8" s="38"/>
      <c r="M8" s="38"/>
    </row>
    <row r="9" spans="1:13" s="7" customFormat="1" ht="17.45" customHeight="1" x14ac:dyDescent="0.3">
      <c r="A9" s="483" t="s">
        <v>184</v>
      </c>
      <c r="B9" s="483"/>
      <c r="C9" s="483"/>
      <c r="D9" s="483"/>
      <c r="E9" s="483"/>
    </row>
    <row r="10" spans="1:13" s="7" customFormat="1" ht="18.75" x14ac:dyDescent="0.3">
      <c r="A10" s="9"/>
      <c r="B10" s="9"/>
      <c r="C10" s="9"/>
      <c r="D10" s="9"/>
      <c r="E10" s="9"/>
      <c r="G10" s="39"/>
    </row>
    <row r="11" spans="1:13" s="7" customFormat="1" ht="18.75" x14ac:dyDescent="0.3">
      <c r="C11" s="40"/>
      <c r="D11" s="40"/>
      <c r="E11" s="40"/>
    </row>
    <row r="12" spans="1:13" s="12" customFormat="1" ht="38.450000000000003" customHeight="1" x14ac:dyDescent="0.2">
      <c r="B12" s="41" t="s">
        <v>450</v>
      </c>
      <c r="C12" s="13" t="s">
        <v>108</v>
      </c>
      <c r="D12" s="13" t="s">
        <v>109</v>
      </c>
      <c r="E12" s="13" t="s">
        <v>67</v>
      </c>
    </row>
    <row r="13" spans="1:13" ht="20.25" customHeight="1" x14ac:dyDescent="0.25">
      <c r="A13" s="16" t="s">
        <v>104</v>
      </c>
      <c r="B13" s="16"/>
      <c r="C13" s="42"/>
      <c r="D13" s="42"/>
      <c r="E13" s="42"/>
    </row>
    <row r="14" spans="1:13" x14ac:dyDescent="0.25">
      <c r="A14" s="1" t="s">
        <v>523</v>
      </c>
      <c r="B14" s="19">
        <v>15</v>
      </c>
      <c r="C14" s="42">
        <f>+'A-RESULTADOS ANEXOS'!D16</f>
        <v>401650235.39999998</v>
      </c>
      <c r="D14" s="42">
        <f>+'A-RESULTADOS ANEXOS'!E16</f>
        <v>401650235.39999998</v>
      </c>
      <c r="E14" s="42">
        <f>C14-D14</f>
        <v>0</v>
      </c>
    </row>
    <row r="15" spans="1:13" x14ac:dyDescent="0.25">
      <c r="A15" s="1" t="s">
        <v>120</v>
      </c>
      <c r="B15" s="19">
        <v>16</v>
      </c>
      <c r="C15" s="42">
        <f>+'A-RESULTADOS ANEXOS'!D20</f>
        <v>101626803.04000001</v>
      </c>
      <c r="D15" s="42">
        <f>+'A-RESULTADOS ANEXOS'!E22</f>
        <v>83886516.010000005</v>
      </c>
      <c r="E15" s="42">
        <f>C15-D15</f>
        <v>17740287.030000001</v>
      </c>
    </row>
    <row r="16" spans="1:13" x14ac:dyDescent="0.25">
      <c r="A16" s="1" t="s">
        <v>121</v>
      </c>
      <c r="B16" s="19">
        <v>17</v>
      </c>
      <c r="C16" s="421">
        <f>+'A-RESULTADOS ANEXOS'!D26</f>
        <v>135840.68</v>
      </c>
      <c r="D16" s="421">
        <f>+'A-RESULTADOS ANEXOS'!E28</f>
        <v>135840.68</v>
      </c>
      <c r="E16" s="42">
        <f>C16-D16</f>
        <v>0</v>
      </c>
      <c r="G16" s="20"/>
    </row>
    <row r="17" spans="1:9" x14ac:dyDescent="0.25">
      <c r="A17" s="16" t="s">
        <v>691</v>
      </c>
      <c r="B17" s="53"/>
      <c r="C17" s="425">
        <f>SUM(C14:C16)</f>
        <v>503412879.12</v>
      </c>
      <c r="D17" s="425">
        <f>SUM(D14:D16)</f>
        <v>485672592.08999997</v>
      </c>
      <c r="E17" s="425">
        <f>SUM(E14:E16)</f>
        <v>17740287.030000001</v>
      </c>
      <c r="G17" s="20"/>
      <c r="H17" s="20"/>
    </row>
    <row r="18" spans="1:9" x14ac:dyDescent="0.25">
      <c r="B18" s="19"/>
      <c r="C18" s="42"/>
      <c r="D18" s="42"/>
      <c r="E18" s="42"/>
    </row>
    <row r="19" spans="1:9" x14ac:dyDescent="0.25">
      <c r="B19" s="19"/>
      <c r="C19" s="42"/>
      <c r="D19" s="42"/>
      <c r="E19" s="42"/>
    </row>
    <row r="20" spans="1:9" x14ac:dyDescent="0.25">
      <c r="A20" s="16" t="s">
        <v>524</v>
      </c>
      <c r="B20" s="53"/>
      <c r="C20" s="42"/>
      <c r="D20" s="42"/>
      <c r="E20" s="42"/>
    </row>
    <row r="21" spans="1:9" x14ac:dyDescent="0.25">
      <c r="A21" s="1" t="s">
        <v>105</v>
      </c>
      <c r="B21" s="19">
        <v>18</v>
      </c>
      <c r="C21" s="42">
        <f>+'A-RESULTADOS ANEXOS'!D53</f>
        <v>126652699</v>
      </c>
      <c r="D21" s="42">
        <f>+'A-RESULTADOS ANEXOS'!E53</f>
        <v>108759300.44000001</v>
      </c>
      <c r="E21" s="42">
        <f>C21-D21</f>
        <v>17893398.559999987</v>
      </c>
      <c r="G21" s="426"/>
    </row>
    <row r="22" spans="1:9" x14ac:dyDescent="0.25">
      <c r="A22" s="1" t="s">
        <v>122</v>
      </c>
      <c r="B22" s="19">
        <v>19</v>
      </c>
      <c r="C22" s="42">
        <f>+'A-RESULTADOS ANEXOS'!D86</f>
        <v>281738748.33999997</v>
      </c>
      <c r="D22" s="42">
        <f>+'A-RESULTADOS ANEXOS'!E86</f>
        <v>208455841.63</v>
      </c>
      <c r="E22" s="42">
        <f>C22-D22</f>
        <v>73282906.709999979</v>
      </c>
      <c r="G22" s="426"/>
    </row>
    <row r="23" spans="1:9" x14ac:dyDescent="0.25">
      <c r="A23" s="1" t="s">
        <v>123</v>
      </c>
      <c r="B23" s="19">
        <v>20</v>
      </c>
      <c r="C23" s="42">
        <f>+'A-RESULTADOS ANEXOS'!D112</f>
        <v>17439045.579999998</v>
      </c>
      <c r="D23" s="42">
        <f>+'A-RESULTADOS ANEXOS'!E112</f>
        <v>14768531.269999998</v>
      </c>
      <c r="E23" s="42">
        <f>C23-D23</f>
        <v>2670514.3100000005</v>
      </c>
      <c r="G23" s="426"/>
    </row>
    <row r="24" spans="1:9" x14ac:dyDescent="0.25">
      <c r="A24" s="1" t="s">
        <v>124</v>
      </c>
      <c r="B24" s="19">
        <v>21</v>
      </c>
      <c r="C24" s="43">
        <f>+'A-RESULTADOS ANEXOS'!D126</f>
        <v>284978904.28000003</v>
      </c>
      <c r="D24" s="43">
        <f>+'A-RESULTADOS ANEXOS'!E126</f>
        <v>283533052.40999997</v>
      </c>
      <c r="E24" s="42">
        <f>C24-D24</f>
        <v>1445851.8700000644</v>
      </c>
      <c r="G24" s="20"/>
    </row>
    <row r="25" spans="1:9" x14ac:dyDescent="0.25">
      <c r="A25" s="16" t="s">
        <v>692</v>
      </c>
      <c r="B25" s="53"/>
      <c r="C25" s="425">
        <f>SUM(C21:C24)</f>
        <v>710809397.20000005</v>
      </c>
      <c r="D25" s="425">
        <f>SUM(D21:D24)</f>
        <v>615516725.75</v>
      </c>
      <c r="E25" s="425">
        <f>SUM(E21:E24)</f>
        <v>95292671.450000033</v>
      </c>
      <c r="F25" s="55"/>
      <c r="G25" s="20"/>
      <c r="H25" s="20"/>
    </row>
    <row r="26" spans="1:9" x14ac:dyDescent="0.25">
      <c r="B26" s="19"/>
      <c r="C26" s="42"/>
      <c r="D26" s="42"/>
      <c r="E26" s="42"/>
      <c r="F26" s="55"/>
      <c r="G26" s="20"/>
    </row>
    <row r="27" spans="1:9" ht="22.5" customHeight="1" x14ac:dyDescent="0.25">
      <c r="A27" s="16" t="s">
        <v>125</v>
      </c>
      <c r="B27" s="53"/>
      <c r="C27" s="72">
        <f>+C17-C25</f>
        <v>-207396518.08000004</v>
      </c>
      <c r="D27" s="72">
        <f>+D17-D25</f>
        <v>-129844133.66000003</v>
      </c>
      <c r="E27" s="72">
        <f>+E17-E25</f>
        <v>-77552384.420000032</v>
      </c>
      <c r="G27" s="55"/>
    </row>
    <row r="28" spans="1:9" x14ac:dyDescent="0.25">
      <c r="B28" s="19"/>
      <c r="C28" s="42"/>
      <c r="D28" s="42"/>
      <c r="E28" s="42"/>
      <c r="F28" s="20"/>
      <c r="G28" s="20"/>
    </row>
    <row r="29" spans="1:9" ht="18" customHeight="1" x14ac:dyDescent="0.25">
      <c r="A29" s="16" t="s">
        <v>690</v>
      </c>
      <c r="B29" s="53"/>
      <c r="C29" s="43"/>
      <c r="D29" s="43"/>
      <c r="E29" s="43"/>
    </row>
    <row r="30" spans="1:9" x14ac:dyDescent="0.25">
      <c r="A30" s="1" t="s">
        <v>306</v>
      </c>
      <c r="B30" s="19">
        <v>22</v>
      </c>
      <c r="C30" s="43">
        <f>+'A-RESULTADOS ANEXOS'!D130</f>
        <v>5450538.5</v>
      </c>
      <c r="D30" s="43">
        <f>+'A-RESULTADOS ANEXOS'!E130</f>
        <v>5449523.0800000001</v>
      </c>
      <c r="E30" s="43">
        <f>C30-D30</f>
        <v>1015.4199999999255</v>
      </c>
      <c r="I30" s="2"/>
    </row>
    <row r="31" spans="1:9" x14ac:dyDescent="0.25">
      <c r="A31" s="1" t="s">
        <v>591</v>
      </c>
      <c r="B31" s="19"/>
      <c r="C31" s="43">
        <f>+'A-RESULTADOS ANEXOS'!D131</f>
        <v>-4245.6400000000003</v>
      </c>
      <c r="D31" s="43">
        <f>+'A-RESULTADOS ANEXOS'!E131</f>
        <v>-4245.6400000000003</v>
      </c>
      <c r="E31" s="43">
        <f>+C31-D31</f>
        <v>0</v>
      </c>
      <c r="G31" s="20"/>
      <c r="I31" s="2"/>
    </row>
    <row r="32" spans="1:9" x14ac:dyDescent="0.25">
      <c r="A32" s="1" t="s">
        <v>688</v>
      </c>
      <c r="B32" s="19"/>
      <c r="C32" s="421">
        <f>+'A-RESULTADOS ANEXOS'!D132</f>
        <v>-16614.849999999977</v>
      </c>
      <c r="D32" s="421">
        <f>+'A-RESULTADOS ANEXOS'!E132</f>
        <v>-16614.849999999977</v>
      </c>
      <c r="E32" s="421">
        <f>+C32-D32</f>
        <v>0</v>
      </c>
      <c r="G32" s="20"/>
    </row>
    <row r="33" spans="1:5" ht="33.75" customHeight="1" x14ac:dyDescent="0.25">
      <c r="A33" s="62" t="s">
        <v>693</v>
      </c>
      <c r="B33" s="53"/>
      <c r="C33" s="72">
        <f>SUM(C30:C32)</f>
        <v>5429678.0100000007</v>
      </c>
      <c r="D33" s="72">
        <f t="shared" ref="D33:E33" si="0">SUM(D30:D32)</f>
        <v>5428662.5900000008</v>
      </c>
      <c r="E33" s="72">
        <f t="shared" si="0"/>
        <v>1015.4199999999255</v>
      </c>
    </row>
    <row r="34" spans="1:5" x14ac:dyDescent="0.25">
      <c r="C34" s="42"/>
      <c r="D34" s="42"/>
      <c r="E34" s="42"/>
    </row>
    <row r="35" spans="1:5" x14ac:dyDescent="0.25">
      <c r="C35" s="42"/>
      <c r="D35" s="42"/>
      <c r="E35" s="42"/>
    </row>
    <row r="36" spans="1:5" x14ac:dyDescent="0.25">
      <c r="C36" s="42"/>
      <c r="D36" s="42"/>
      <c r="E36" s="42"/>
    </row>
    <row r="37" spans="1:5" ht="25.5" customHeight="1" thickBot="1" x14ac:dyDescent="0.3">
      <c r="A37" s="16" t="s">
        <v>243</v>
      </c>
      <c r="B37" s="44"/>
      <c r="C37" s="26">
        <f>C27+C33</f>
        <v>-201966840.07000005</v>
      </c>
      <c r="D37" s="26">
        <f>D27+D33</f>
        <v>-124415471.07000002</v>
      </c>
      <c r="E37" s="26">
        <f>E27+E33</f>
        <v>-77551369.00000003</v>
      </c>
    </row>
    <row r="38" spans="1:5" ht="16.5" thickTop="1" x14ac:dyDescent="0.25">
      <c r="C38" s="45">
        <f>C27-C37+C33</f>
        <v>1.0244548320770264E-8</v>
      </c>
      <c r="D38" s="45">
        <f>D27-D37+D33</f>
        <v>0</v>
      </c>
      <c r="E38" s="45">
        <f>E27-E37+E33</f>
        <v>-1.862645149230957E-9</v>
      </c>
    </row>
    <row r="39" spans="1:5" x14ac:dyDescent="0.25">
      <c r="C39" s="446"/>
      <c r="D39" s="17"/>
      <c r="E39" s="45"/>
    </row>
    <row r="40" spans="1:5" x14ac:dyDescent="0.25">
      <c r="C40" s="416"/>
      <c r="D40" s="17"/>
      <c r="E40" s="45"/>
    </row>
    <row r="41" spans="1:5" x14ac:dyDescent="0.25">
      <c r="A41" s="34"/>
      <c r="B41" s="34"/>
      <c r="C41" s="35"/>
      <c r="D41" s="35"/>
      <c r="E41" s="46"/>
    </row>
    <row r="42" spans="1:5" x14ac:dyDescent="0.25">
      <c r="A42" s="34"/>
      <c r="B42" s="34"/>
      <c r="C42" s="35"/>
      <c r="D42" s="35"/>
      <c r="E42" s="35"/>
    </row>
    <row r="43" spans="1:5" x14ac:dyDescent="0.25">
      <c r="A43" s="47"/>
      <c r="B43" s="47"/>
      <c r="C43" s="35"/>
      <c r="D43" s="35"/>
      <c r="E43" s="35"/>
    </row>
    <row r="44" spans="1:5" x14ac:dyDescent="0.25">
      <c r="A44" s="35"/>
      <c r="B44" s="35"/>
      <c r="C44" s="35"/>
      <c r="D44" s="35"/>
      <c r="E44" s="35"/>
    </row>
    <row r="45" spans="1:5" x14ac:dyDescent="0.25">
      <c r="A45" s="35"/>
      <c r="B45" s="35"/>
      <c r="C45" s="35"/>
      <c r="D45" s="35"/>
      <c r="E45" s="35"/>
    </row>
    <row r="46" spans="1:5" s="16" customFormat="1" x14ac:dyDescent="0.25">
      <c r="A46" s="269" t="s">
        <v>240</v>
      </c>
      <c r="B46" s="270"/>
      <c r="C46" s="270"/>
      <c r="D46" s="489" t="s">
        <v>11</v>
      </c>
      <c r="E46" s="489"/>
    </row>
    <row r="47" spans="1:5" x14ac:dyDescent="0.25">
      <c r="A47" s="48" t="str">
        <f>+'Estado Situación'!A57</f>
        <v>Encargado División de Contabilidad</v>
      </c>
      <c r="B47" s="35"/>
      <c r="C47" s="35"/>
      <c r="D47" s="490" t="s">
        <v>12</v>
      </c>
      <c r="E47" s="490"/>
    </row>
    <row r="48" spans="1:5" x14ac:dyDescent="0.25">
      <c r="A48" s="47"/>
      <c r="B48" s="47"/>
      <c r="C48" s="35"/>
      <c r="D48" s="35"/>
      <c r="E48" s="35"/>
    </row>
    <row r="49" spans="1:5" x14ac:dyDescent="0.25">
      <c r="A49" s="47"/>
      <c r="B49" s="47"/>
      <c r="C49" s="35"/>
      <c r="D49" s="35"/>
      <c r="E49" s="35"/>
    </row>
    <row r="50" spans="1:5" x14ac:dyDescent="0.25">
      <c r="A50" s="34"/>
      <c r="B50" s="34"/>
      <c r="C50" s="35"/>
      <c r="D50" s="35"/>
      <c r="E50" s="35"/>
    </row>
    <row r="51" spans="1:5" x14ac:dyDescent="0.25">
      <c r="A51" s="34"/>
      <c r="B51" s="34"/>
      <c r="C51" s="35"/>
      <c r="D51" s="35"/>
      <c r="E51" s="35"/>
    </row>
    <row r="52" spans="1:5" s="16" customFormat="1" x14ac:dyDescent="0.25">
      <c r="A52" s="487" t="s">
        <v>127</v>
      </c>
      <c r="B52" s="487"/>
      <c r="C52" s="487"/>
      <c r="D52" s="487"/>
      <c r="E52" s="487"/>
    </row>
    <row r="53" spans="1:5" x14ac:dyDescent="0.25">
      <c r="A53" s="488" t="s">
        <v>128</v>
      </c>
      <c r="B53" s="488"/>
      <c r="C53" s="488"/>
      <c r="D53" s="488"/>
      <c r="E53" s="488"/>
    </row>
    <row r="54" spans="1:5" x14ac:dyDescent="0.25">
      <c r="A54" s="34"/>
      <c r="B54" s="34"/>
      <c r="C54" s="35"/>
      <c r="D54" s="35"/>
      <c r="E54" s="35"/>
    </row>
  </sheetData>
  <mergeCells count="8">
    <mergeCell ref="A52:E52"/>
    <mergeCell ref="A53:E53"/>
    <mergeCell ref="A6:E6"/>
    <mergeCell ref="A7:E7"/>
    <mergeCell ref="A8:E8"/>
    <mergeCell ref="A9:E9"/>
    <mergeCell ref="D46:E46"/>
    <mergeCell ref="D47:E47"/>
  </mergeCells>
  <phoneticPr fontId="32" type="noConversion"/>
  <pageMargins left="0.82677165354330717" right="0.78740157480314965" top="0.43307086614173229" bottom="0.82677165354330717" header="0" footer="0"/>
  <pageSetup scale="68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3:O13"/>
  <sheetViews>
    <sheetView workbookViewId="0">
      <selection activeCell="C15" sqref="A1:C15"/>
    </sheetView>
  </sheetViews>
  <sheetFormatPr baseColWidth="10" defaultColWidth="11.5703125" defaultRowHeight="24.75" customHeight="1" x14ac:dyDescent="0.25"/>
  <cols>
    <col min="1" max="1" width="42.5703125" style="1" customWidth="1"/>
    <col min="2" max="2" width="21.7109375" style="1" customWidth="1"/>
    <col min="3" max="4" width="11.5703125" style="1"/>
    <col min="5" max="5" width="19.140625" style="1" customWidth="1"/>
    <col min="6" max="14" width="11.5703125" style="1"/>
    <col min="15" max="15" width="16.85546875" style="1" bestFit="1" customWidth="1"/>
    <col min="16" max="16384" width="11.5703125" style="1"/>
  </cols>
  <sheetData>
    <row r="3" spans="1:15" ht="24.75" customHeight="1" x14ac:dyDescent="0.25">
      <c r="A3" s="484" t="s">
        <v>805</v>
      </c>
      <c r="B3" s="484"/>
    </row>
    <row r="4" spans="1:15" ht="24.75" customHeight="1" x14ac:dyDescent="0.25">
      <c r="A4" s="484" t="s">
        <v>170</v>
      </c>
      <c r="B4" s="484"/>
    </row>
    <row r="5" spans="1:15" ht="24.75" customHeight="1" x14ac:dyDescent="0.25">
      <c r="A5" s="484" t="s">
        <v>213</v>
      </c>
      <c r="B5" s="484"/>
    </row>
    <row r="6" spans="1:15" ht="24.75" customHeight="1" x14ac:dyDescent="0.25">
      <c r="A6" s="496">
        <v>45504</v>
      </c>
      <c r="B6" s="496"/>
    </row>
    <row r="7" spans="1:15" ht="24.75" customHeight="1" thickBot="1" x14ac:dyDescent="0.3">
      <c r="A7" s="73"/>
      <c r="B7" s="73"/>
    </row>
    <row r="8" spans="1:15" ht="24.75" customHeight="1" thickBot="1" x14ac:dyDescent="0.3">
      <c r="A8" s="76" t="s">
        <v>154</v>
      </c>
      <c r="B8" s="78" t="s">
        <v>156</v>
      </c>
    </row>
    <row r="9" spans="1:15" ht="24.75" customHeight="1" x14ac:dyDescent="0.25">
      <c r="A9" s="79" t="s">
        <v>210</v>
      </c>
      <c r="B9" s="83">
        <v>0</v>
      </c>
    </row>
    <row r="10" spans="1:15" ht="24.75" customHeight="1" x14ac:dyDescent="0.25">
      <c r="A10" s="81" t="s">
        <v>211</v>
      </c>
      <c r="B10" s="83">
        <v>0</v>
      </c>
    </row>
    <row r="11" spans="1:15" ht="24.75" customHeight="1" x14ac:dyDescent="0.4">
      <c r="A11" s="81" t="s">
        <v>212</v>
      </c>
      <c r="B11" s="85">
        <v>0</v>
      </c>
      <c r="O11" s="2"/>
    </row>
    <row r="12" spans="1:15" ht="24.75" customHeight="1" x14ac:dyDescent="0.4">
      <c r="A12" s="81"/>
      <c r="B12" s="88">
        <f>SUM(B9:B11)</f>
        <v>0</v>
      </c>
    </row>
    <row r="13" spans="1:15" ht="24.75" customHeight="1" thickBot="1" x14ac:dyDescent="0.3">
      <c r="A13" s="89"/>
      <c r="B13" s="91"/>
    </row>
  </sheetData>
  <mergeCells count="4">
    <mergeCell ref="A4:B4"/>
    <mergeCell ref="A3:B3"/>
    <mergeCell ref="A5:B5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8E765-175B-49EE-B8AA-77A40EDFAE4C}">
  <sheetPr>
    <pageSetUpPr fitToPage="1"/>
  </sheetPr>
  <dimension ref="B8:I39"/>
  <sheetViews>
    <sheetView topLeftCell="A18" zoomScaleNormal="100" workbookViewId="0">
      <selection activeCell="C15" sqref="A1:C15"/>
    </sheetView>
  </sheetViews>
  <sheetFormatPr baseColWidth="10" defaultRowHeight="12.75" x14ac:dyDescent="0.2"/>
  <cols>
    <col min="2" max="2" width="42.140625" customWidth="1"/>
    <col min="3" max="3" width="24.42578125" bestFit="1" customWidth="1"/>
    <col min="5" max="5" width="10.85546875" customWidth="1"/>
    <col min="6" max="6" width="12" bestFit="1" customWidth="1"/>
    <col min="7" max="7" width="13.28515625" customWidth="1"/>
    <col min="8" max="8" width="19.42578125" bestFit="1" customWidth="1"/>
  </cols>
  <sheetData>
    <row r="8" spans="2:9" ht="20.25" customHeight="1" x14ac:dyDescent="0.25">
      <c r="B8" s="484" t="s">
        <v>676</v>
      </c>
      <c r="C8" s="484"/>
    </row>
    <row r="9" spans="2:9" ht="20.25" customHeight="1" x14ac:dyDescent="0.25">
      <c r="B9" s="484" t="s">
        <v>170</v>
      </c>
      <c r="C9" s="484"/>
    </row>
    <row r="10" spans="2:9" ht="20.25" customHeight="1" x14ac:dyDescent="0.25">
      <c r="B10" s="484" t="s">
        <v>677</v>
      </c>
      <c r="C10" s="484"/>
    </row>
    <row r="11" spans="2:9" ht="20.25" customHeight="1" x14ac:dyDescent="0.25">
      <c r="B11" s="496">
        <v>45504</v>
      </c>
      <c r="C11" s="496"/>
      <c r="E11" s="509" t="s">
        <v>783</v>
      </c>
      <c r="F11" s="509"/>
      <c r="G11" s="509"/>
      <c r="H11" s="509"/>
      <c r="I11" s="509"/>
    </row>
    <row r="12" spans="2:9" ht="16.5" thickBot="1" x14ac:dyDescent="0.3">
      <c r="B12" s="1"/>
      <c r="C12" s="1"/>
    </row>
    <row r="13" spans="2:9" ht="29.25" customHeight="1" thickBot="1" x14ac:dyDescent="0.3">
      <c r="B13" s="76" t="s">
        <v>183</v>
      </c>
      <c r="C13" s="78" t="s">
        <v>156</v>
      </c>
      <c r="E13" s="393"/>
      <c r="F13" s="395" t="s">
        <v>682</v>
      </c>
      <c r="G13" s="395" t="s">
        <v>131</v>
      </c>
      <c r="H13" s="395" t="s">
        <v>683</v>
      </c>
    </row>
    <row r="14" spans="2:9" ht="24.75" customHeight="1" x14ac:dyDescent="0.25">
      <c r="B14" s="65" t="s">
        <v>470</v>
      </c>
      <c r="C14" s="121">
        <f>+H18+H27</f>
        <v>311156800</v>
      </c>
      <c r="F14" s="396">
        <v>39310</v>
      </c>
      <c r="G14" s="397">
        <v>45183</v>
      </c>
      <c r="H14" s="398">
        <v>70000000</v>
      </c>
    </row>
    <row r="15" spans="2:9" ht="27" customHeight="1" x14ac:dyDescent="0.25">
      <c r="B15" s="65" t="s">
        <v>71</v>
      </c>
      <c r="C15" s="121">
        <v>296750000</v>
      </c>
      <c r="F15" s="396">
        <v>39363</v>
      </c>
      <c r="G15" s="397">
        <v>45216</v>
      </c>
      <c r="H15" s="398">
        <v>20000000</v>
      </c>
    </row>
    <row r="16" spans="2:9" ht="29.25" customHeight="1" x14ac:dyDescent="0.4">
      <c r="B16" s="65" t="s">
        <v>72</v>
      </c>
      <c r="C16" s="257">
        <f>296750000+110000000</f>
        <v>406750000</v>
      </c>
      <c r="F16" s="396">
        <v>39410</v>
      </c>
      <c r="G16" s="397">
        <v>45239</v>
      </c>
      <c r="H16" s="398">
        <v>40000000</v>
      </c>
    </row>
    <row r="17" spans="2:8" ht="23.25" customHeight="1" x14ac:dyDescent="0.4">
      <c r="B17" s="258" t="s">
        <v>168</v>
      </c>
      <c r="C17" s="96">
        <f>SUM(C14:C16)</f>
        <v>1014656800</v>
      </c>
      <c r="F17" s="396">
        <v>39476</v>
      </c>
      <c r="G17" s="397">
        <v>45278</v>
      </c>
      <c r="H17" s="399">
        <v>21156800</v>
      </c>
    </row>
    <row r="18" spans="2:8" ht="15.75" x14ac:dyDescent="0.25">
      <c r="B18" s="127"/>
      <c r="C18" s="127"/>
      <c r="F18" s="396"/>
      <c r="G18" s="396"/>
      <c r="H18" s="400">
        <v>151156800</v>
      </c>
    </row>
    <row r="19" spans="2:8" ht="15" x14ac:dyDescent="0.25">
      <c r="F19" s="396"/>
      <c r="G19" s="396"/>
      <c r="H19" s="401"/>
    </row>
    <row r="20" spans="2:8" ht="15" x14ac:dyDescent="0.25">
      <c r="C20" s="414"/>
      <c r="F20" s="396">
        <v>39477</v>
      </c>
      <c r="G20" s="397">
        <v>45279</v>
      </c>
      <c r="H20" s="398">
        <v>40000000</v>
      </c>
    </row>
    <row r="21" spans="2:8" ht="15" x14ac:dyDescent="0.25">
      <c r="C21" s="427"/>
      <c r="F21" s="396">
        <v>39515</v>
      </c>
      <c r="G21" s="397">
        <v>45303</v>
      </c>
      <c r="H21" s="398">
        <v>20000000</v>
      </c>
    </row>
    <row r="22" spans="2:8" ht="15" x14ac:dyDescent="0.25">
      <c r="C22" s="427"/>
      <c r="F22" s="396">
        <v>39567</v>
      </c>
      <c r="G22" s="397">
        <v>45335</v>
      </c>
      <c r="H22" s="398">
        <v>20000000</v>
      </c>
    </row>
    <row r="23" spans="2:8" ht="15" x14ac:dyDescent="0.25">
      <c r="C23" s="427"/>
      <c r="F23" s="396">
        <v>39616</v>
      </c>
      <c r="G23" s="397">
        <v>45365</v>
      </c>
      <c r="H23" s="398">
        <v>20000000</v>
      </c>
    </row>
    <row r="24" spans="2:8" ht="15" x14ac:dyDescent="0.25">
      <c r="F24" s="396">
        <v>39651</v>
      </c>
      <c r="G24" s="397">
        <v>45386</v>
      </c>
      <c r="H24" s="398">
        <v>20000000</v>
      </c>
    </row>
    <row r="25" spans="2:8" ht="15" x14ac:dyDescent="0.25">
      <c r="F25" s="396">
        <v>39713</v>
      </c>
      <c r="G25" s="397">
        <v>45422</v>
      </c>
      <c r="H25" s="398">
        <v>20000000</v>
      </c>
    </row>
    <row r="26" spans="2:8" ht="15" x14ac:dyDescent="0.25">
      <c r="F26" s="396">
        <v>39749</v>
      </c>
      <c r="G26" s="397">
        <v>45460</v>
      </c>
      <c r="H26" s="399">
        <v>20000000</v>
      </c>
    </row>
    <row r="27" spans="2:8" ht="15" x14ac:dyDescent="0.25">
      <c r="F27" s="396"/>
      <c r="G27" s="397"/>
      <c r="H27" s="415">
        <f>SUM(H20:H26)</f>
        <v>160000000</v>
      </c>
    </row>
    <row r="28" spans="2:8" ht="15" x14ac:dyDescent="0.25">
      <c r="F28" s="396"/>
      <c r="G28" s="397"/>
      <c r="H28" s="399"/>
    </row>
    <row r="29" spans="2:8" ht="15" x14ac:dyDescent="0.25">
      <c r="F29" s="396" t="s">
        <v>744</v>
      </c>
      <c r="G29" s="397">
        <v>45426</v>
      </c>
      <c r="H29" s="415">
        <v>296750000</v>
      </c>
    </row>
    <row r="30" spans="2:8" ht="15" x14ac:dyDescent="0.25">
      <c r="F30" s="396"/>
      <c r="G30" s="397"/>
      <c r="H30" s="399"/>
    </row>
    <row r="31" spans="2:8" ht="15" x14ac:dyDescent="0.25">
      <c r="F31" s="396" t="s">
        <v>743</v>
      </c>
      <c r="G31" s="397">
        <v>45426</v>
      </c>
      <c r="H31" s="476">
        <v>296750000</v>
      </c>
    </row>
    <row r="32" spans="2:8" ht="15" x14ac:dyDescent="0.25">
      <c r="F32" s="396">
        <v>39804</v>
      </c>
      <c r="G32" s="397">
        <v>45490</v>
      </c>
      <c r="H32" s="415">
        <v>110000000</v>
      </c>
    </row>
    <row r="33" spans="6:8" ht="15" x14ac:dyDescent="0.25">
      <c r="F33" s="396"/>
      <c r="G33" s="397"/>
      <c r="H33" s="415">
        <f>SUM(H31:H32)</f>
        <v>406750000</v>
      </c>
    </row>
    <row r="34" spans="6:8" ht="15" x14ac:dyDescent="0.25">
      <c r="F34" s="401"/>
      <c r="G34" s="396"/>
      <c r="H34" s="401"/>
    </row>
    <row r="35" spans="6:8" x14ac:dyDescent="0.2">
      <c r="H35" s="402">
        <f>+H18+H27+H29+H33</f>
        <v>1014656800</v>
      </c>
    </row>
    <row r="37" spans="6:8" x14ac:dyDescent="0.2">
      <c r="H37" s="414"/>
    </row>
    <row r="38" spans="6:8" x14ac:dyDescent="0.2">
      <c r="H38" s="414"/>
    </row>
    <row r="39" spans="6:8" x14ac:dyDescent="0.2">
      <c r="H39" s="414"/>
    </row>
  </sheetData>
  <mergeCells count="5">
    <mergeCell ref="E11:I11"/>
    <mergeCell ref="B8:C8"/>
    <mergeCell ref="B10:C10"/>
    <mergeCell ref="B11:C11"/>
    <mergeCell ref="B9:C9"/>
  </mergeCells>
  <pageMargins left="0.31496062992125984" right="0.31496062992125984" top="0.74803149606299213" bottom="0.74803149606299213" header="0.31496062992125984" footer="0.31496062992125984"/>
  <pageSetup fitToHeight="2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E4D21-3DBC-44D8-BAA4-C261AEC889CD}">
  <dimension ref="A1:F46"/>
  <sheetViews>
    <sheetView topLeftCell="A20" workbookViewId="0">
      <selection activeCell="C15" sqref="A1:C15"/>
    </sheetView>
  </sheetViews>
  <sheetFormatPr baseColWidth="10" defaultRowHeight="12.75" x14ac:dyDescent="0.2"/>
  <cols>
    <col min="4" max="4" width="16.140625" bestFit="1" customWidth="1"/>
    <col min="5" max="5" width="15.28515625" customWidth="1"/>
  </cols>
  <sheetData>
    <row r="1" spans="1:6" ht="15.75" x14ac:dyDescent="0.25">
      <c r="A1" s="444" t="s">
        <v>787</v>
      </c>
      <c r="B1" s="444"/>
      <c r="C1" s="439"/>
      <c r="E1" s="439" t="s">
        <v>797</v>
      </c>
      <c r="F1" s="440"/>
    </row>
    <row r="3" spans="1:6" ht="15" x14ac:dyDescent="0.25">
      <c r="A3" s="439" t="s">
        <v>788</v>
      </c>
      <c r="B3" s="439"/>
      <c r="C3" s="441">
        <v>45200</v>
      </c>
      <c r="D3" s="439" t="s">
        <v>789</v>
      </c>
      <c r="E3" s="441">
        <v>45488</v>
      </c>
    </row>
    <row r="4" spans="1:6" ht="15" x14ac:dyDescent="0.25">
      <c r="A4" s="439" t="s">
        <v>43</v>
      </c>
      <c r="B4" s="439"/>
      <c r="C4" s="439">
        <v>0</v>
      </c>
      <c r="D4" s="439" t="s">
        <v>790</v>
      </c>
      <c r="E4" s="439">
        <v>0</v>
      </c>
    </row>
    <row r="5" spans="1:6" ht="15" x14ac:dyDescent="0.25">
      <c r="A5" s="477" t="s">
        <v>831</v>
      </c>
      <c r="B5" s="439"/>
      <c r="C5" s="439"/>
      <c r="D5" s="439"/>
      <c r="E5" s="439"/>
    </row>
    <row r="7" spans="1:6" ht="15" x14ac:dyDescent="0.25">
      <c r="A7" s="445" t="s">
        <v>791</v>
      </c>
      <c r="B7" s="445" t="s">
        <v>131</v>
      </c>
      <c r="C7" s="445" t="s">
        <v>792</v>
      </c>
      <c r="D7" s="445" t="s">
        <v>793</v>
      </c>
      <c r="E7" s="445" t="s">
        <v>794</v>
      </c>
    </row>
    <row r="8" spans="1:6" ht="15" x14ac:dyDescent="0.25">
      <c r="A8" s="439" t="s">
        <v>795</v>
      </c>
      <c r="B8" s="441">
        <v>45183</v>
      </c>
      <c r="C8" s="439">
        <v>39310</v>
      </c>
      <c r="D8" s="439">
        <v>0</v>
      </c>
      <c r="E8" s="442">
        <v>70000000</v>
      </c>
    </row>
    <row r="9" spans="1:6" ht="15" x14ac:dyDescent="0.25">
      <c r="A9" s="439" t="s">
        <v>795</v>
      </c>
      <c r="B9" s="441">
        <v>45216</v>
      </c>
      <c r="C9" s="439">
        <v>39363</v>
      </c>
      <c r="D9" s="439"/>
      <c r="E9" s="442">
        <v>20000000</v>
      </c>
    </row>
    <row r="10" spans="1:6" ht="15" x14ac:dyDescent="0.25">
      <c r="A10" s="439" t="s">
        <v>795</v>
      </c>
      <c r="B10" s="441">
        <v>45239</v>
      </c>
      <c r="C10" s="439">
        <v>39410</v>
      </c>
      <c r="D10" s="439">
        <v>0</v>
      </c>
      <c r="E10" s="442">
        <v>40000000</v>
      </c>
    </row>
    <row r="11" spans="1:6" ht="15" x14ac:dyDescent="0.25">
      <c r="A11" s="439" t="s">
        <v>795</v>
      </c>
      <c r="B11" s="441">
        <v>45278</v>
      </c>
      <c r="C11" s="439">
        <v>39476</v>
      </c>
      <c r="D11" s="439">
        <v>0</v>
      </c>
      <c r="E11" s="442">
        <v>21156800</v>
      </c>
    </row>
    <row r="12" spans="1:6" ht="15" x14ac:dyDescent="0.25">
      <c r="A12" s="439" t="s">
        <v>795</v>
      </c>
      <c r="B12" s="441">
        <v>45279</v>
      </c>
      <c r="C12" s="439">
        <v>39477</v>
      </c>
      <c r="D12" s="439">
        <v>0</v>
      </c>
      <c r="E12" s="442">
        <v>40000000</v>
      </c>
    </row>
    <row r="13" spans="1:6" ht="15" x14ac:dyDescent="0.25">
      <c r="A13" s="439" t="s">
        <v>795</v>
      </c>
      <c r="B13" s="441">
        <v>45303</v>
      </c>
      <c r="C13" s="439">
        <v>39515</v>
      </c>
      <c r="D13" s="439">
        <v>0</v>
      </c>
      <c r="E13" s="442">
        <v>20000000</v>
      </c>
    </row>
    <row r="14" spans="1:6" ht="15" x14ac:dyDescent="0.25">
      <c r="A14" s="439" t="s">
        <v>795</v>
      </c>
      <c r="B14" s="441">
        <v>45335</v>
      </c>
      <c r="C14" s="439">
        <v>39567</v>
      </c>
      <c r="D14" s="439">
        <v>0</v>
      </c>
      <c r="E14" s="442">
        <v>20000000</v>
      </c>
    </row>
    <row r="15" spans="1:6" ht="15" x14ac:dyDescent="0.25">
      <c r="A15" s="439" t="s">
        <v>795</v>
      </c>
      <c r="B15" s="441">
        <v>45365</v>
      </c>
      <c r="C15" s="439">
        <v>39616</v>
      </c>
      <c r="D15" s="439">
        <v>0</v>
      </c>
      <c r="E15" s="442">
        <v>20000000</v>
      </c>
    </row>
    <row r="16" spans="1:6" ht="15" x14ac:dyDescent="0.25">
      <c r="A16" s="439" t="s">
        <v>795</v>
      </c>
      <c r="B16" s="441">
        <v>45386</v>
      </c>
      <c r="C16" s="439">
        <v>39651</v>
      </c>
      <c r="D16" s="439">
        <v>0</v>
      </c>
      <c r="E16" s="442">
        <v>20000000</v>
      </c>
    </row>
    <row r="17" spans="1:5" ht="15" x14ac:dyDescent="0.25">
      <c r="A17" s="439" t="s">
        <v>795</v>
      </c>
      <c r="B17" s="441">
        <v>45422</v>
      </c>
      <c r="C17" s="439">
        <v>39713</v>
      </c>
      <c r="D17" s="439">
        <v>0</v>
      </c>
      <c r="E17" s="442">
        <v>20000000</v>
      </c>
    </row>
    <row r="18" spans="1:5" ht="15" x14ac:dyDescent="0.25">
      <c r="A18" s="439" t="s">
        <v>795</v>
      </c>
      <c r="B18" s="441">
        <v>45460</v>
      </c>
      <c r="C18" s="439">
        <v>39749</v>
      </c>
      <c r="D18" s="439">
        <v>0</v>
      </c>
      <c r="E18" s="442">
        <v>20000000</v>
      </c>
    </row>
    <row r="19" spans="1:5" ht="15.75" thickBot="1" x14ac:dyDescent="0.3">
      <c r="A19" s="439"/>
      <c r="B19" s="439"/>
      <c r="C19" s="439" t="s">
        <v>796</v>
      </c>
      <c r="D19" s="439"/>
      <c r="E19" s="443">
        <f>SUM(E8:E18)</f>
        <v>311156800</v>
      </c>
    </row>
    <row r="20" spans="1:5" ht="15.75" thickTop="1" x14ac:dyDescent="0.25">
      <c r="A20" s="439"/>
      <c r="B20" s="439"/>
      <c r="C20" s="439"/>
      <c r="D20" s="439"/>
      <c r="E20" s="439"/>
    </row>
    <row r="27" spans="1:5" ht="15.75" x14ac:dyDescent="0.25">
      <c r="A27" s="444" t="s">
        <v>787</v>
      </c>
      <c r="B27" s="444"/>
      <c r="C27" s="439"/>
      <c r="E27" s="439" t="s">
        <v>797</v>
      </c>
    </row>
    <row r="29" spans="1:5" ht="15" x14ac:dyDescent="0.25">
      <c r="A29" s="439" t="s">
        <v>788</v>
      </c>
      <c r="B29" s="439"/>
      <c r="C29" s="441">
        <v>45200</v>
      </c>
      <c r="D29" s="439" t="s">
        <v>789</v>
      </c>
      <c r="E29" s="441">
        <v>45523</v>
      </c>
    </row>
    <row r="30" spans="1:5" ht="15" x14ac:dyDescent="0.25">
      <c r="A30" s="439" t="s">
        <v>43</v>
      </c>
      <c r="B30" s="439"/>
      <c r="C30" s="439">
        <v>0</v>
      </c>
      <c r="D30" s="439" t="s">
        <v>790</v>
      </c>
      <c r="E30" s="439">
        <v>0</v>
      </c>
    </row>
    <row r="31" spans="1:5" ht="15" x14ac:dyDescent="0.25">
      <c r="A31" s="477" t="s">
        <v>830</v>
      </c>
      <c r="B31" s="439"/>
      <c r="C31" s="439"/>
      <c r="D31" s="439"/>
      <c r="E31" s="439"/>
    </row>
    <row r="33" spans="1:5" ht="15" x14ac:dyDescent="0.25">
      <c r="A33" s="445" t="s">
        <v>791</v>
      </c>
      <c r="B33" s="445" t="s">
        <v>131</v>
      </c>
      <c r="C33" s="445" t="s">
        <v>792</v>
      </c>
      <c r="D33" s="445" t="s">
        <v>793</v>
      </c>
      <c r="E33" s="445" t="s">
        <v>794</v>
      </c>
    </row>
    <row r="34" spans="1:5" ht="15" x14ac:dyDescent="0.25">
      <c r="A34" s="439" t="s">
        <v>795</v>
      </c>
      <c r="B34" s="441">
        <v>45426</v>
      </c>
      <c r="C34" s="475" t="s">
        <v>829</v>
      </c>
      <c r="E34" s="472">
        <v>296750000</v>
      </c>
    </row>
    <row r="35" spans="1:5" ht="15" x14ac:dyDescent="0.25">
      <c r="A35" s="439" t="s">
        <v>795</v>
      </c>
      <c r="B35" s="474">
        <v>45490</v>
      </c>
      <c r="C35">
        <v>39804</v>
      </c>
      <c r="D35" s="473"/>
      <c r="E35" s="442">
        <v>110000000</v>
      </c>
    </row>
    <row r="36" spans="1:5" ht="15.75" thickBot="1" x14ac:dyDescent="0.3">
      <c r="A36" s="439"/>
      <c r="B36" s="441"/>
      <c r="C36" s="439"/>
      <c r="D36" s="472"/>
      <c r="E36" s="443">
        <f>SUM(E34:E35)</f>
        <v>406750000</v>
      </c>
    </row>
    <row r="37" spans="1:5" ht="15.75" thickTop="1" x14ac:dyDescent="0.25">
      <c r="A37" s="439"/>
      <c r="B37" s="441"/>
      <c r="C37" s="439"/>
      <c r="D37" s="472"/>
      <c r="E37" s="442"/>
    </row>
    <row r="38" spans="1:5" ht="15" x14ac:dyDescent="0.25">
      <c r="A38" s="439"/>
      <c r="B38" s="441"/>
      <c r="C38" s="439"/>
      <c r="D38" s="472"/>
      <c r="E38" s="442"/>
    </row>
    <row r="39" spans="1:5" ht="15" x14ac:dyDescent="0.25">
      <c r="A39" s="439"/>
      <c r="B39" s="441"/>
      <c r="C39" s="439"/>
      <c r="D39" s="472"/>
      <c r="E39" s="442"/>
    </row>
    <row r="40" spans="1:5" ht="15" x14ac:dyDescent="0.25">
      <c r="A40" s="439"/>
      <c r="B40" s="441"/>
      <c r="C40" s="439"/>
      <c r="D40" s="439"/>
      <c r="E40" s="442"/>
    </row>
    <row r="41" spans="1:5" ht="15" x14ac:dyDescent="0.25">
      <c r="A41" s="439"/>
      <c r="B41" s="441"/>
      <c r="C41" s="439"/>
      <c r="D41" s="439"/>
      <c r="E41" s="442"/>
    </row>
    <row r="42" spans="1:5" ht="15" x14ac:dyDescent="0.25">
      <c r="A42" s="439"/>
      <c r="B42" s="441"/>
      <c r="C42" s="439"/>
      <c r="D42" s="439"/>
      <c r="E42" s="442"/>
    </row>
    <row r="43" spans="1:5" ht="15" x14ac:dyDescent="0.25">
      <c r="A43" s="439"/>
      <c r="B43" s="441"/>
      <c r="C43" s="439"/>
      <c r="D43" s="439"/>
      <c r="E43" s="442"/>
    </row>
    <row r="44" spans="1:5" ht="15" x14ac:dyDescent="0.25">
      <c r="A44" s="439"/>
      <c r="B44" s="441"/>
      <c r="C44" s="439"/>
      <c r="D44" s="439"/>
      <c r="E44" s="442"/>
    </row>
    <row r="45" spans="1:5" ht="15" x14ac:dyDescent="0.25">
      <c r="A45" s="439"/>
      <c r="B45" s="439"/>
      <c r="C45" s="439"/>
      <c r="D45" s="439"/>
      <c r="E45" s="442"/>
    </row>
    <row r="46" spans="1:5" ht="15" x14ac:dyDescent="0.25">
      <c r="A46" s="439"/>
      <c r="B46" s="439"/>
      <c r="C46" s="439"/>
      <c r="D46" s="439"/>
      <c r="E46" s="442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M31"/>
  <sheetViews>
    <sheetView zoomScale="98" zoomScaleNormal="98" workbookViewId="0">
      <selection activeCell="C15" sqref="A1:C15"/>
    </sheetView>
  </sheetViews>
  <sheetFormatPr baseColWidth="10" defaultColWidth="9.140625" defaultRowHeight="24.75" customHeight="1" x14ac:dyDescent="0.25"/>
  <cols>
    <col min="1" max="1" width="4" style="1" customWidth="1"/>
    <col min="2" max="2" width="26" style="1" bestFit="1" customWidth="1"/>
    <col min="3" max="3" width="20.42578125" style="1" bestFit="1" customWidth="1"/>
    <col min="4" max="4" width="18.7109375" style="1" bestFit="1" customWidth="1"/>
    <col min="5" max="5" width="19.85546875" style="1" bestFit="1" customWidth="1"/>
    <col min="6" max="6" width="18.140625" style="1" bestFit="1" customWidth="1"/>
    <col min="7" max="7" width="20.140625" style="1" bestFit="1" customWidth="1"/>
    <col min="8" max="8" width="2.42578125" style="1" customWidth="1"/>
    <col min="9" max="10" width="18.28515625" style="1" bestFit="1" customWidth="1"/>
    <col min="11" max="11" width="22.42578125" style="1" bestFit="1" customWidth="1"/>
    <col min="12" max="12" width="12.42578125" style="1" bestFit="1" customWidth="1"/>
    <col min="13" max="13" width="14.5703125" style="1" bestFit="1" customWidth="1"/>
    <col min="14" max="14" width="13.28515625" style="1" bestFit="1" customWidth="1"/>
    <col min="15" max="16384" width="9.140625" style="1"/>
  </cols>
  <sheetData>
    <row r="1" spans="2:13" ht="15.75" x14ac:dyDescent="0.25"/>
    <row r="2" spans="2:13" ht="15.75" x14ac:dyDescent="0.25"/>
    <row r="3" spans="2:13" s="142" customFormat="1" ht="12.75" x14ac:dyDescent="0.2"/>
    <row r="4" spans="2:13" s="142" customFormat="1" ht="12.75" x14ac:dyDescent="0.2"/>
    <row r="5" spans="2:13" s="142" customFormat="1" ht="12.75" x14ac:dyDescent="0.2"/>
    <row r="6" spans="2:13" s="142" customFormat="1" ht="15.75" x14ac:dyDescent="0.25">
      <c r="B6" s="510" t="s">
        <v>245</v>
      </c>
      <c r="C6" s="510"/>
      <c r="D6" s="510"/>
      <c r="E6" s="510"/>
      <c r="F6" s="510"/>
      <c r="G6" s="510"/>
      <c r="H6" s="510"/>
      <c r="I6" s="510"/>
      <c r="J6" s="510"/>
      <c r="K6" s="510"/>
    </row>
    <row r="7" spans="2:13" s="142" customFormat="1" ht="15.75" x14ac:dyDescent="0.25">
      <c r="B7" s="510" t="s">
        <v>170</v>
      </c>
      <c r="C7" s="510"/>
      <c r="D7" s="510"/>
      <c r="E7" s="510"/>
      <c r="F7" s="510"/>
      <c r="G7" s="510"/>
      <c r="H7" s="510"/>
      <c r="I7" s="510"/>
      <c r="J7" s="510"/>
      <c r="K7" s="510"/>
    </row>
    <row r="8" spans="2:13" s="142" customFormat="1" ht="15.75" x14ac:dyDescent="0.25">
      <c r="B8" s="510" t="s">
        <v>746</v>
      </c>
      <c r="C8" s="510"/>
      <c r="D8" s="510"/>
      <c r="E8" s="510"/>
      <c r="F8" s="510"/>
      <c r="G8" s="510"/>
      <c r="H8" s="510"/>
      <c r="I8" s="510"/>
      <c r="J8" s="510"/>
      <c r="K8" s="510"/>
    </row>
    <row r="9" spans="2:13" s="142" customFormat="1" ht="15.75" x14ac:dyDescent="0.25">
      <c r="B9" s="511">
        <v>45504</v>
      </c>
      <c r="C9" s="511"/>
      <c r="D9" s="511"/>
      <c r="E9" s="511"/>
      <c r="F9" s="511"/>
      <c r="G9" s="511"/>
      <c r="H9" s="511"/>
      <c r="I9" s="511"/>
      <c r="J9" s="511"/>
      <c r="K9" s="511"/>
    </row>
    <row r="10" spans="2:13" s="142" customFormat="1" ht="16.5" thickBot="1" x14ac:dyDescent="0.3">
      <c r="B10" s="324"/>
      <c r="C10" s="327"/>
      <c r="D10" s="327"/>
      <c r="E10" s="327"/>
      <c r="F10" s="327"/>
      <c r="G10" s="324"/>
      <c r="H10" s="324"/>
      <c r="I10" s="239"/>
      <c r="J10" s="325"/>
      <c r="K10" s="326"/>
    </row>
    <row r="11" spans="2:13" s="142" customFormat="1" ht="48" thickBot="1" x14ac:dyDescent="0.25">
      <c r="B11" s="328" t="s">
        <v>183</v>
      </c>
      <c r="C11" s="329" t="s">
        <v>316</v>
      </c>
      <c r="D11" s="329" t="s">
        <v>319</v>
      </c>
      <c r="E11" s="329" t="s">
        <v>296</v>
      </c>
      <c r="F11" s="329" t="s">
        <v>295</v>
      </c>
      <c r="G11" s="329" t="s">
        <v>317</v>
      </c>
      <c r="H11" s="329"/>
      <c r="I11" s="329" t="s">
        <v>304</v>
      </c>
      <c r="J11" s="329" t="s">
        <v>318</v>
      </c>
      <c r="K11" s="330" t="s">
        <v>551</v>
      </c>
    </row>
    <row r="12" spans="2:13" ht="24.75" customHeight="1" x14ac:dyDescent="0.25">
      <c r="B12" s="331" t="s">
        <v>297</v>
      </c>
      <c r="C12" s="337">
        <v>53342803.449999996</v>
      </c>
      <c r="D12" s="337">
        <v>1003826</v>
      </c>
      <c r="E12" s="337">
        <v>25682855.010000002</v>
      </c>
      <c r="F12" s="337">
        <v>0</v>
      </c>
      <c r="G12" s="338">
        <f>SUM(C12:F12)</f>
        <v>80029484.459999993</v>
      </c>
      <c r="H12" s="337"/>
      <c r="I12" s="338">
        <v>5881555.6499999994</v>
      </c>
      <c r="J12" s="338">
        <f>+I12</f>
        <v>5881555.6499999994</v>
      </c>
      <c r="K12" s="339">
        <f>+G12+J12</f>
        <v>85911040.109999999</v>
      </c>
      <c r="M12" s="2"/>
    </row>
    <row r="13" spans="2:13" ht="24.75" customHeight="1" x14ac:dyDescent="0.25">
      <c r="B13" s="332" t="s">
        <v>298</v>
      </c>
      <c r="C13" s="340">
        <v>0</v>
      </c>
      <c r="D13" s="340">
        <v>0</v>
      </c>
      <c r="E13" s="340">
        <v>0</v>
      </c>
      <c r="F13" s="340">
        <v>0</v>
      </c>
      <c r="G13" s="338">
        <f>SUM(C13:F13)</f>
        <v>0</v>
      </c>
      <c r="H13" s="341"/>
      <c r="I13" s="340">
        <v>0</v>
      </c>
      <c r="J13" s="340">
        <f>+I13</f>
        <v>0</v>
      </c>
      <c r="K13" s="339">
        <f t="shared" ref="K13:K16" si="0">+G13+J13</f>
        <v>0</v>
      </c>
      <c r="M13" s="2"/>
    </row>
    <row r="14" spans="2:13" ht="24.75" customHeight="1" x14ac:dyDescent="0.25">
      <c r="B14" s="332" t="s">
        <v>299</v>
      </c>
      <c r="C14" s="340">
        <v>0</v>
      </c>
      <c r="D14" s="340">
        <v>0</v>
      </c>
      <c r="E14" s="340">
        <v>0</v>
      </c>
      <c r="F14" s="340">
        <v>0</v>
      </c>
      <c r="G14" s="338">
        <f t="shared" ref="G14:G16" si="1">SUM(C14:F14)</f>
        <v>0</v>
      </c>
      <c r="H14" s="341"/>
      <c r="I14" s="340">
        <v>0</v>
      </c>
      <c r="J14" s="338">
        <f>+I14</f>
        <v>0</v>
      </c>
      <c r="K14" s="339">
        <f t="shared" si="0"/>
        <v>0</v>
      </c>
      <c r="M14" s="2"/>
    </row>
    <row r="15" spans="2:13" ht="24.75" customHeight="1" x14ac:dyDescent="0.25">
      <c r="B15" s="332" t="s">
        <v>300</v>
      </c>
      <c r="C15" s="340">
        <v>0</v>
      </c>
      <c r="D15" s="340">
        <v>0</v>
      </c>
      <c r="E15" s="340">
        <v>0</v>
      </c>
      <c r="F15" s="340">
        <v>0</v>
      </c>
      <c r="G15" s="338">
        <f t="shared" si="1"/>
        <v>0</v>
      </c>
      <c r="H15" s="341"/>
      <c r="I15" s="340">
        <v>0</v>
      </c>
      <c r="J15" s="340">
        <f>+I15</f>
        <v>0</v>
      </c>
      <c r="K15" s="339">
        <f t="shared" si="0"/>
        <v>0</v>
      </c>
    </row>
    <row r="16" spans="2:13" ht="24.75" customHeight="1" x14ac:dyDescent="0.4">
      <c r="B16" s="332" t="s">
        <v>800</v>
      </c>
      <c r="C16" s="342">
        <v>0</v>
      </c>
      <c r="D16" s="342">
        <v>0</v>
      </c>
      <c r="E16" s="342">
        <v>0</v>
      </c>
      <c r="F16" s="342">
        <v>0</v>
      </c>
      <c r="G16" s="343">
        <f t="shared" si="1"/>
        <v>0</v>
      </c>
      <c r="H16" s="344"/>
      <c r="I16" s="342">
        <v>0</v>
      </c>
      <c r="J16" s="342">
        <f>+I16</f>
        <v>0</v>
      </c>
      <c r="K16" s="345">
        <f t="shared" si="0"/>
        <v>0</v>
      </c>
    </row>
    <row r="17" spans="2:11" ht="31.5" x14ac:dyDescent="0.25">
      <c r="B17" s="419" t="s">
        <v>748</v>
      </c>
      <c r="C17" s="347">
        <f>SUM(C12:C16)</f>
        <v>53342803.449999996</v>
      </c>
      <c r="D17" s="347">
        <f>SUM(D12:D16)</f>
        <v>1003826</v>
      </c>
      <c r="E17" s="347">
        <f>SUM(E12:E16)</f>
        <v>25682855.010000002</v>
      </c>
      <c r="F17" s="347">
        <f>SUM(F12:F16)</f>
        <v>0</v>
      </c>
      <c r="G17" s="347">
        <f>SUM(G12:G16)</f>
        <v>80029484.459999993</v>
      </c>
      <c r="H17" s="346"/>
      <c r="I17" s="347">
        <f>SUM(I12:I16)</f>
        <v>5881555.6499999994</v>
      </c>
      <c r="J17" s="347">
        <f>SUM(J12:J16)</f>
        <v>5881555.6499999994</v>
      </c>
      <c r="K17" s="348">
        <f>SUM(K12:K16)</f>
        <v>85911040.109999999</v>
      </c>
    </row>
    <row r="18" spans="2:11" ht="24.75" customHeight="1" x14ac:dyDescent="0.25">
      <c r="B18" s="332"/>
      <c r="C18" s="340"/>
      <c r="D18" s="340"/>
      <c r="E18" s="340"/>
      <c r="F18" s="340"/>
      <c r="G18" s="340"/>
      <c r="H18" s="341"/>
      <c r="I18" s="340"/>
      <c r="J18" s="347"/>
      <c r="K18" s="348"/>
    </row>
    <row r="19" spans="2:11" ht="32.25" customHeight="1" x14ac:dyDescent="0.25">
      <c r="B19" s="334" t="s">
        <v>301</v>
      </c>
      <c r="C19" s="347"/>
      <c r="D19" s="347"/>
      <c r="E19" s="347"/>
      <c r="F19" s="347"/>
      <c r="G19" s="347"/>
      <c r="H19" s="346"/>
      <c r="I19" s="347"/>
      <c r="J19" s="347"/>
      <c r="K19" s="348"/>
    </row>
    <row r="20" spans="2:11" ht="24.75" customHeight="1" x14ac:dyDescent="0.25">
      <c r="B20" s="332" t="s">
        <v>297</v>
      </c>
      <c r="C20" s="340">
        <v>35696662.259999998</v>
      </c>
      <c r="D20" s="340">
        <v>368069.9</v>
      </c>
      <c r="E20" s="340">
        <v>20562971.609999999</v>
      </c>
      <c r="F20" s="340">
        <v>0</v>
      </c>
      <c r="G20" s="338">
        <f>SUM(C20:F20)</f>
        <v>56627703.769999996</v>
      </c>
      <c r="H20" s="341"/>
      <c r="I20" s="340">
        <v>5881555.6499999994</v>
      </c>
      <c r="J20" s="340">
        <f>+I20</f>
        <v>5881555.6499999994</v>
      </c>
      <c r="K20" s="349">
        <f>+G20+J20</f>
        <v>62509259.419999994</v>
      </c>
    </row>
    <row r="21" spans="2:11" ht="24.75" customHeight="1" x14ac:dyDescent="0.25">
      <c r="B21" s="332" t="s">
        <v>302</v>
      </c>
      <c r="C21" s="340">
        <v>515546.05</v>
      </c>
      <c r="D21" s="340">
        <v>16730.45</v>
      </c>
      <c r="E21" s="340">
        <v>102397.66</v>
      </c>
      <c r="F21" s="340">
        <v>0</v>
      </c>
      <c r="G21" s="338">
        <f>C21+E21+F21+D21</f>
        <v>634674.15999999992</v>
      </c>
      <c r="H21" s="341"/>
      <c r="I21" s="340">
        <v>0</v>
      </c>
      <c r="J21" s="340">
        <f>+I21</f>
        <v>0</v>
      </c>
      <c r="K21" s="339">
        <f>+G21+J21</f>
        <v>634674.15999999992</v>
      </c>
    </row>
    <row r="22" spans="2:11" ht="24.75" customHeight="1" x14ac:dyDescent="0.25">
      <c r="B22" s="332" t="s">
        <v>300</v>
      </c>
      <c r="C22" s="340">
        <v>0</v>
      </c>
      <c r="D22" s="340">
        <v>0</v>
      </c>
      <c r="E22" s="340">
        <v>0</v>
      </c>
      <c r="F22" s="340">
        <v>0</v>
      </c>
      <c r="G22" s="338">
        <f>C22+E22+F22+D22</f>
        <v>0</v>
      </c>
      <c r="H22" s="341"/>
      <c r="I22" s="340">
        <v>0</v>
      </c>
      <c r="J22" s="340">
        <f>+I22</f>
        <v>0</v>
      </c>
      <c r="K22" s="339">
        <f>+G22+J22</f>
        <v>0</v>
      </c>
    </row>
    <row r="23" spans="2:11" ht="24.75" customHeight="1" x14ac:dyDescent="0.4">
      <c r="B23" s="332" t="s">
        <v>303</v>
      </c>
      <c r="C23" s="342">
        <v>0</v>
      </c>
      <c r="D23" s="342">
        <v>0</v>
      </c>
      <c r="E23" s="342">
        <v>0</v>
      </c>
      <c r="F23" s="342">
        <v>0</v>
      </c>
      <c r="G23" s="343">
        <f>C23+E23+F23+D23</f>
        <v>0</v>
      </c>
      <c r="H23" s="344"/>
      <c r="I23" s="342">
        <v>0</v>
      </c>
      <c r="J23" s="342">
        <f>+I23</f>
        <v>0</v>
      </c>
      <c r="K23" s="345">
        <f>+G23+J23</f>
        <v>0</v>
      </c>
    </row>
    <row r="24" spans="2:11" ht="31.5" x14ac:dyDescent="0.4">
      <c r="B24" s="335" t="s">
        <v>747</v>
      </c>
      <c r="C24" s="351">
        <f>SUM(C20:C23)</f>
        <v>36212208.309999995</v>
      </c>
      <c r="D24" s="351">
        <f t="shared" ref="D24:G24" si="2">SUM(D20:D23)</f>
        <v>384800.35000000003</v>
      </c>
      <c r="E24" s="351">
        <f t="shared" si="2"/>
        <v>20665369.27</v>
      </c>
      <c r="F24" s="351">
        <f t="shared" si="2"/>
        <v>0</v>
      </c>
      <c r="G24" s="351">
        <f t="shared" si="2"/>
        <v>57262377.929999992</v>
      </c>
      <c r="H24" s="350"/>
      <c r="I24" s="351">
        <f>SUM(I20:I23)</f>
        <v>5881555.6499999994</v>
      </c>
      <c r="J24" s="351">
        <f>SUM(J20:J23)</f>
        <v>5881555.6499999994</v>
      </c>
      <c r="K24" s="352">
        <f>SUM(K20:K23)</f>
        <v>63143933.579999991</v>
      </c>
    </row>
    <row r="25" spans="2:11" ht="24.75" customHeight="1" x14ac:dyDescent="0.4">
      <c r="B25" s="333"/>
      <c r="C25" s="403"/>
      <c r="D25" s="403"/>
      <c r="E25" s="403"/>
      <c r="F25" s="403"/>
      <c r="G25" s="403"/>
      <c r="H25" s="353"/>
      <c r="I25" s="340"/>
      <c r="J25" s="340"/>
      <c r="K25" s="349"/>
    </row>
    <row r="26" spans="2:11" ht="39" customHeight="1" x14ac:dyDescent="0.4">
      <c r="B26" s="419" t="s">
        <v>749</v>
      </c>
      <c r="C26" s="404">
        <f>+C17-C24</f>
        <v>17130595.140000001</v>
      </c>
      <c r="D26" s="404">
        <f t="shared" ref="D26:G26" si="3">+D17-D24</f>
        <v>619025.64999999991</v>
      </c>
      <c r="E26" s="404">
        <f t="shared" si="3"/>
        <v>5017485.7400000021</v>
      </c>
      <c r="F26" s="404">
        <f t="shared" si="3"/>
        <v>0</v>
      </c>
      <c r="G26" s="404">
        <f t="shared" si="3"/>
        <v>22767106.530000001</v>
      </c>
      <c r="H26" s="354"/>
      <c r="I26" s="404">
        <f t="shared" ref="I26:J26" si="4">+I17-I24</f>
        <v>0</v>
      </c>
      <c r="J26" s="404">
        <f t="shared" si="4"/>
        <v>0</v>
      </c>
      <c r="K26" s="355">
        <f>+K17-K24</f>
        <v>22767106.530000009</v>
      </c>
    </row>
    <row r="27" spans="2:11" ht="24.75" customHeight="1" thickBot="1" x14ac:dyDescent="0.3">
      <c r="B27" s="336"/>
      <c r="C27" s="240"/>
      <c r="D27" s="240"/>
      <c r="E27" s="240"/>
      <c r="F27" s="240"/>
      <c r="G27" s="240"/>
      <c r="H27" s="240"/>
      <c r="I27" s="241"/>
      <c r="J27" s="241"/>
      <c r="K27" s="242"/>
    </row>
    <row r="28" spans="2:11" ht="24.75" customHeight="1" x14ac:dyDescent="0.25">
      <c r="B28" s="2"/>
      <c r="C28" s="70"/>
      <c r="D28" s="70"/>
      <c r="E28" s="390"/>
      <c r="F28" s="70"/>
      <c r="G28" s="70"/>
      <c r="H28" s="70"/>
      <c r="I28" s="70"/>
      <c r="J28" s="70"/>
      <c r="K28" s="70"/>
    </row>
    <row r="29" spans="2:11" ht="24.75" customHeight="1" x14ac:dyDescent="0.25">
      <c r="G29" s="2"/>
    </row>
    <row r="31" spans="2:11" ht="24.75" customHeight="1" x14ac:dyDescent="0.25">
      <c r="G31" s="20"/>
      <c r="K31" s="20"/>
    </row>
  </sheetData>
  <mergeCells count="4">
    <mergeCell ref="B8:K8"/>
    <mergeCell ref="B9:K9"/>
    <mergeCell ref="B6:K6"/>
    <mergeCell ref="B7:K7"/>
  </mergeCells>
  <pageMargins left="0.19685039370078741" right="0.19685039370078741" top="0.74803149606299213" bottom="0.74803149606299213" header="0.31496062992125984" footer="0.31496062992125984"/>
  <pageSetup scale="55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95"/>
  <sheetViews>
    <sheetView view="pageBreakPreview" topLeftCell="A51" zoomScale="90" zoomScaleNormal="100" zoomScaleSheetLayoutView="90" workbookViewId="0">
      <selection activeCell="B11" sqref="B11"/>
    </sheetView>
  </sheetViews>
  <sheetFormatPr baseColWidth="10" defaultColWidth="9.140625" defaultRowHeight="24.75" customHeight="1" x14ac:dyDescent="0.25"/>
  <cols>
    <col min="1" max="1" width="9.140625" style="1"/>
    <col min="2" max="2" width="65.42578125" style="1" customWidth="1"/>
    <col min="3" max="3" width="25.28515625" style="1" customWidth="1"/>
    <col min="4" max="4" width="31" style="1" customWidth="1"/>
    <col min="5" max="5" width="23.85546875" style="1" customWidth="1"/>
    <col min="6" max="6" width="17.42578125" style="1" bestFit="1" customWidth="1"/>
    <col min="7" max="7" width="16.85546875" style="1" customWidth="1"/>
    <col min="8" max="8" width="12.42578125" style="1" customWidth="1"/>
    <col min="9" max="16384" width="9.140625" style="1"/>
  </cols>
  <sheetData>
    <row r="1" spans="2:7" ht="24.75" customHeight="1" x14ac:dyDescent="0.25">
      <c r="C1" s="2"/>
      <c r="D1" s="2"/>
      <c r="E1" s="2"/>
    </row>
    <row r="2" spans="2:7" ht="24.75" customHeight="1" x14ac:dyDescent="0.25">
      <c r="B2" s="16"/>
      <c r="C2" s="16"/>
      <c r="D2" s="16"/>
      <c r="E2" s="16"/>
    </row>
    <row r="3" spans="2:7" ht="24.75" customHeight="1" x14ac:dyDescent="0.25">
      <c r="B3" s="484" t="s">
        <v>182</v>
      </c>
      <c r="C3" s="484"/>
      <c r="D3" s="16"/>
      <c r="E3" s="16"/>
    </row>
    <row r="4" spans="2:7" ht="24.75" customHeight="1" x14ac:dyDescent="0.25">
      <c r="B4" s="484" t="s">
        <v>170</v>
      </c>
      <c r="C4" s="484"/>
      <c r="D4" s="16"/>
      <c r="E4" s="16"/>
    </row>
    <row r="5" spans="2:7" ht="24.75" customHeight="1" x14ac:dyDescent="0.25">
      <c r="B5" s="484" t="s">
        <v>750</v>
      </c>
      <c r="C5" s="484"/>
      <c r="D5" s="16"/>
      <c r="E5" s="16"/>
    </row>
    <row r="6" spans="2:7" ht="24.75" customHeight="1" x14ac:dyDescent="0.25">
      <c r="B6" s="496">
        <v>45504</v>
      </c>
      <c r="C6" s="496"/>
      <c r="D6" s="106"/>
      <c r="F6" s="19"/>
      <c r="G6" s="70"/>
    </row>
    <row r="7" spans="2:7" ht="24.75" customHeight="1" thickBot="1" x14ac:dyDescent="0.3">
      <c r="B7" s="74"/>
      <c r="C7" s="305"/>
      <c r="D7" s="244"/>
      <c r="F7" s="19"/>
      <c r="G7" s="2"/>
    </row>
    <row r="8" spans="2:7" ht="24.75" customHeight="1" thickBot="1" x14ac:dyDescent="0.3">
      <c r="B8" s="76" t="s">
        <v>183</v>
      </c>
      <c r="C8" s="78" t="s">
        <v>156</v>
      </c>
      <c r="D8" s="244"/>
      <c r="F8" s="19"/>
      <c r="G8" s="2"/>
    </row>
    <row r="9" spans="2:7" ht="24.75" customHeight="1" x14ac:dyDescent="0.25">
      <c r="B9" s="306" t="s">
        <v>98</v>
      </c>
      <c r="C9" s="408">
        <v>1920357.47</v>
      </c>
      <c r="D9" s="244"/>
      <c r="E9" s="33"/>
      <c r="F9" s="19"/>
      <c r="G9" s="70"/>
    </row>
    <row r="10" spans="2:7" ht="24.75" customHeight="1" x14ac:dyDescent="0.25">
      <c r="B10" s="307" t="s">
        <v>146</v>
      </c>
      <c r="C10" s="245">
        <v>324875.99</v>
      </c>
      <c r="D10" s="244"/>
      <c r="E10" s="20"/>
      <c r="F10" s="19"/>
      <c r="G10" s="2"/>
    </row>
    <row r="11" spans="2:7" ht="24.75" customHeight="1" x14ac:dyDescent="0.25">
      <c r="B11" s="307" t="s">
        <v>48</v>
      </c>
      <c r="C11" s="245">
        <v>69744.2</v>
      </c>
      <c r="D11" s="429"/>
      <c r="F11" s="19"/>
      <c r="G11" s="70"/>
    </row>
    <row r="12" spans="2:7" ht="24.75" customHeight="1" x14ac:dyDescent="0.25">
      <c r="B12" s="81" t="s">
        <v>650</v>
      </c>
      <c r="C12" s="245">
        <v>658898.54</v>
      </c>
      <c r="D12" s="244"/>
      <c r="F12" s="19"/>
      <c r="G12" s="2"/>
    </row>
    <row r="13" spans="2:7" ht="24.75" customHeight="1" x14ac:dyDescent="0.25">
      <c r="B13" s="81" t="s">
        <v>652</v>
      </c>
      <c r="C13" s="245">
        <v>993091.84</v>
      </c>
      <c r="D13" s="244"/>
      <c r="F13" s="19"/>
      <c r="G13" s="2"/>
    </row>
    <row r="14" spans="2:7" ht="24.75" customHeight="1" x14ac:dyDescent="0.4">
      <c r="B14" s="307" t="s">
        <v>215</v>
      </c>
      <c r="C14" s="247">
        <v>0</v>
      </c>
      <c r="D14" s="244"/>
      <c r="F14" s="19"/>
      <c r="G14" s="70"/>
    </row>
    <row r="15" spans="2:7" ht="24.75" customHeight="1" x14ac:dyDescent="0.4">
      <c r="B15" s="309" t="s">
        <v>651</v>
      </c>
      <c r="C15" s="310">
        <f>SUM(C9:C14)</f>
        <v>3966968.04</v>
      </c>
      <c r="D15" s="244"/>
      <c r="E15" s="2"/>
      <c r="G15" s="20"/>
    </row>
    <row r="16" spans="2:7" ht="24.75" customHeight="1" thickBot="1" x14ac:dyDescent="0.3">
      <c r="B16" s="89"/>
      <c r="C16" s="171"/>
      <c r="D16" s="244"/>
      <c r="E16" s="2"/>
    </row>
    <row r="17" spans="3:5" ht="24.75" customHeight="1" x14ac:dyDescent="0.25">
      <c r="C17" s="61"/>
      <c r="D17" s="244"/>
      <c r="E17" s="2"/>
    </row>
    <row r="18" spans="3:5" ht="24.75" customHeight="1" x14ac:dyDescent="0.25">
      <c r="C18" s="61"/>
      <c r="D18" s="244"/>
      <c r="E18" s="2"/>
    </row>
    <row r="19" spans="3:5" ht="24.75" customHeight="1" x14ac:dyDescent="0.25">
      <c r="C19" s="61"/>
      <c r="E19" s="2"/>
    </row>
    <row r="20" spans="3:5" ht="24.75" customHeight="1" x14ac:dyDescent="0.25">
      <c r="C20" s="61"/>
      <c r="E20" s="2"/>
    </row>
    <row r="21" spans="3:5" ht="24.75" customHeight="1" x14ac:dyDescent="0.25">
      <c r="C21" s="61"/>
      <c r="E21" s="2"/>
    </row>
    <row r="22" spans="3:5" ht="24.75" customHeight="1" x14ac:dyDescent="0.25">
      <c r="C22" s="61"/>
      <c r="E22" s="2"/>
    </row>
    <row r="23" spans="3:5" ht="24.75" customHeight="1" x14ac:dyDescent="0.25">
      <c r="C23" s="61"/>
      <c r="E23" s="2"/>
    </row>
    <row r="24" spans="3:5" ht="24.75" customHeight="1" x14ac:dyDescent="0.25">
      <c r="C24" s="61"/>
      <c r="E24" s="2"/>
    </row>
    <row r="25" spans="3:5" ht="24.75" customHeight="1" x14ac:dyDescent="0.25">
      <c r="C25" s="61"/>
      <c r="E25" s="2"/>
    </row>
    <row r="26" spans="3:5" ht="24.75" customHeight="1" x14ac:dyDescent="0.25">
      <c r="C26" s="61"/>
      <c r="E26" s="2"/>
    </row>
    <row r="27" spans="3:5" ht="24.75" customHeight="1" x14ac:dyDescent="0.25">
      <c r="C27" s="61"/>
      <c r="E27" s="2"/>
    </row>
    <row r="28" spans="3:5" ht="24.75" customHeight="1" x14ac:dyDescent="0.25">
      <c r="C28" s="61"/>
      <c r="E28" s="2"/>
    </row>
    <row r="29" spans="3:5" ht="24.75" customHeight="1" x14ac:dyDescent="0.25">
      <c r="C29" s="61"/>
      <c r="E29" s="2"/>
    </row>
    <row r="30" spans="3:5" ht="24.75" customHeight="1" x14ac:dyDescent="0.25">
      <c r="C30" s="61"/>
      <c r="E30" s="2"/>
    </row>
    <row r="31" spans="3:5" ht="11.25" customHeight="1" x14ac:dyDescent="0.25">
      <c r="C31" s="61"/>
      <c r="E31" s="2"/>
    </row>
    <row r="32" spans="3:5" ht="24.75" customHeight="1" x14ac:dyDescent="0.25">
      <c r="C32" s="2"/>
    </row>
    <row r="33" spans="2:8" ht="24.75" customHeight="1" x14ac:dyDescent="0.25">
      <c r="B33" s="484" t="str">
        <f>+B3</f>
        <v>NOTA 9</v>
      </c>
      <c r="C33" s="484"/>
    </row>
    <row r="34" spans="2:8" ht="24.75" customHeight="1" x14ac:dyDescent="0.25">
      <c r="B34" s="484" t="str">
        <f>+B4</f>
        <v>Cédula de detalle de cuentas</v>
      </c>
      <c r="C34" s="484"/>
    </row>
    <row r="35" spans="2:8" ht="24.75" customHeight="1" x14ac:dyDescent="0.25">
      <c r="B35" s="484" t="str">
        <f>+B5</f>
        <v xml:space="preserve">Cuentas por pagar </v>
      </c>
      <c r="C35" s="484"/>
      <c r="E35" s="430"/>
      <c r="F35" s="431"/>
      <c r="H35" s="2"/>
    </row>
    <row r="36" spans="2:8" ht="24.75" customHeight="1" x14ac:dyDescent="0.25">
      <c r="B36" s="496">
        <v>45504</v>
      </c>
      <c r="C36" s="496"/>
      <c r="E36" s="430"/>
      <c r="F36" s="431"/>
      <c r="H36" s="33"/>
    </row>
    <row r="37" spans="2:8" ht="24.75" customHeight="1" thickBot="1" x14ac:dyDescent="0.3">
      <c r="E37" s="430"/>
      <c r="F37" s="431"/>
      <c r="H37" s="33"/>
    </row>
    <row r="38" spans="2:8" ht="24.75" customHeight="1" thickBot="1" x14ac:dyDescent="0.3">
      <c r="B38" s="76" t="s">
        <v>183</v>
      </c>
      <c r="C38" s="78" t="s">
        <v>156</v>
      </c>
      <c r="E38" s="430"/>
      <c r="F38" s="431"/>
      <c r="H38" s="33"/>
    </row>
    <row r="39" spans="2:8" ht="24.75" customHeight="1" x14ac:dyDescent="0.25">
      <c r="B39" s="306" t="s">
        <v>773</v>
      </c>
      <c r="C39" s="311">
        <v>640000</v>
      </c>
      <c r="E39" s="430"/>
      <c r="F39" s="431"/>
    </row>
    <row r="40" spans="2:8" ht="24.75" customHeight="1" x14ac:dyDescent="0.25">
      <c r="B40" s="306" t="s">
        <v>824</v>
      </c>
      <c r="C40" s="311">
        <v>33125.03</v>
      </c>
      <c r="E40" s="430"/>
      <c r="F40" s="431"/>
    </row>
    <row r="41" spans="2:8" ht="24.75" customHeight="1" x14ac:dyDescent="0.25">
      <c r="B41" s="306" t="s">
        <v>825</v>
      </c>
      <c r="C41" s="311">
        <v>900000</v>
      </c>
      <c r="E41" s="430"/>
      <c r="F41" s="431"/>
    </row>
    <row r="42" spans="2:8" ht="24.75" customHeight="1" x14ac:dyDescent="0.25">
      <c r="B42" s="306" t="s">
        <v>774</v>
      </c>
      <c r="C42" s="311">
        <v>109572.44</v>
      </c>
      <c r="E42" s="430"/>
      <c r="F42" s="431"/>
    </row>
    <row r="43" spans="2:8" ht="24.75" customHeight="1" x14ac:dyDescent="0.25">
      <c r="B43" s="306" t="s">
        <v>268</v>
      </c>
      <c r="C43" s="311">
        <v>214760</v>
      </c>
      <c r="E43" s="430"/>
      <c r="F43" s="431"/>
    </row>
    <row r="44" spans="2:8" ht="24.75" customHeight="1" x14ac:dyDescent="0.25">
      <c r="B44" s="306" t="s">
        <v>826</v>
      </c>
      <c r="C44" s="470">
        <v>22900</v>
      </c>
      <c r="E44" s="430"/>
      <c r="F44" s="431"/>
    </row>
    <row r="45" spans="2:8" ht="24.75" customHeight="1" thickBot="1" x14ac:dyDescent="0.3">
      <c r="B45" s="86" t="s">
        <v>169</v>
      </c>
      <c r="C45" s="171">
        <f>SUM(C39:C44)</f>
        <v>1920357.47</v>
      </c>
      <c r="E45" s="2"/>
    </row>
    <row r="46" spans="2:8" ht="15" customHeight="1" x14ac:dyDescent="0.25">
      <c r="C46" s="61"/>
      <c r="E46" s="2"/>
    </row>
    <row r="47" spans="2:8" ht="15" customHeight="1" x14ac:dyDescent="0.25">
      <c r="C47" s="61"/>
      <c r="E47" s="2"/>
    </row>
    <row r="48" spans="2:8" ht="15" customHeight="1" x14ac:dyDescent="0.25">
      <c r="C48" s="61"/>
      <c r="E48" s="2"/>
    </row>
    <row r="49" spans="2:5" ht="15" customHeight="1" x14ac:dyDescent="0.25">
      <c r="C49" s="61"/>
      <c r="E49" s="2"/>
    </row>
    <row r="50" spans="2:5" ht="24.75" customHeight="1" x14ac:dyDescent="0.25">
      <c r="C50" s="61"/>
      <c r="E50" s="2"/>
    </row>
    <row r="51" spans="2:5" ht="24.75" customHeight="1" x14ac:dyDescent="0.25">
      <c r="B51" s="484" t="str">
        <f>+B33</f>
        <v>NOTA 9</v>
      </c>
      <c r="C51" s="484"/>
    </row>
    <row r="52" spans="2:5" ht="24.75" customHeight="1" x14ac:dyDescent="0.25">
      <c r="B52" s="484" t="str">
        <f>+B34</f>
        <v>Cédula de detalle de cuentas</v>
      </c>
      <c r="C52" s="484"/>
    </row>
    <row r="53" spans="2:5" ht="24.75" customHeight="1" x14ac:dyDescent="0.25">
      <c r="B53" s="484" t="s">
        <v>320</v>
      </c>
      <c r="C53" s="484"/>
    </row>
    <row r="54" spans="2:5" ht="24.75" customHeight="1" x14ac:dyDescent="0.25">
      <c r="B54" s="496">
        <v>45504</v>
      </c>
      <c r="C54" s="496"/>
    </row>
    <row r="55" spans="2:5" ht="24.75" customHeight="1" thickBot="1" x14ac:dyDescent="0.3">
      <c r="C55" s="2"/>
    </row>
    <row r="56" spans="2:5" ht="24.75" customHeight="1" thickBot="1" x14ac:dyDescent="0.3">
      <c r="B56" s="76" t="s">
        <v>183</v>
      </c>
      <c r="C56" s="78" t="s">
        <v>156</v>
      </c>
    </row>
    <row r="57" spans="2:5" ht="24.75" customHeight="1" x14ac:dyDescent="0.25">
      <c r="B57" s="307" t="s">
        <v>775</v>
      </c>
      <c r="C57" s="312">
        <v>324875.99</v>
      </c>
      <c r="D57" s="322"/>
      <c r="E57" s="323"/>
    </row>
    <row r="58" spans="2:5" ht="15.75" hidden="1" customHeight="1" x14ac:dyDescent="0.25">
      <c r="B58" s="307" t="s">
        <v>542</v>
      </c>
      <c r="C58" s="312"/>
      <c r="D58" s="322"/>
      <c r="E58" s="323"/>
    </row>
    <row r="59" spans="2:5" ht="24.75" customHeight="1" x14ac:dyDescent="0.4">
      <c r="B59" s="86" t="s">
        <v>168</v>
      </c>
      <c r="C59" s="88">
        <f>SUM(C57:C58)</f>
        <v>324875.99</v>
      </c>
    </row>
    <row r="60" spans="2:5" ht="16.5" thickBot="1" x14ac:dyDescent="0.3">
      <c r="B60" s="89"/>
      <c r="C60" s="171">
        <f>+C10-C59</f>
        <v>0</v>
      </c>
      <c r="D60" s="33"/>
    </row>
    <row r="61" spans="2:5" ht="25.5" customHeight="1" x14ac:dyDescent="0.25">
      <c r="D61" s="33"/>
    </row>
    <row r="62" spans="2:5" ht="25.5" customHeight="1" x14ac:dyDescent="0.25">
      <c r="D62" s="33"/>
    </row>
    <row r="63" spans="2:5" ht="25.5" customHeight="1" x14ac:dyDescent="0.25">
      <c r="D63" s="33"/>
    </row>
    <row r="64" spans="2:5" ht="25.5" customHeight="1" x14ac:dyDescent="0.25">
      <c r="D64" s="33"/>
    </row>
    <row r="65" spans="2:4" ht="25.5" customHeight="1" x14ac:dyDescent="0.25">
      <c r="D65" s="33"/>
    </row>
    <row r="66" spans="2:4" ht="25.5" customHeight="1" x14ac:dyDescent="0.25">
      <c r="D66" s="33"/>
    </row>
    <row r="67" spans="2:4" ht="25.5" customHeight="1" x14ac:dyDescent="0.25">
      <c r="D67" s="33"/>
    </row>
    <row r="68" spans="2:4" ht="25.5" customHeight="1" x14ac:dyDescent="0.25">
      <c r="C68" s="20"/>
      <c r="D68" s="33"/>
    </row>
    <row r="69" spans="2:4" ht="25.5" customHeight="1" x14ac:dyDescent="0.25">
      <c r="D69" s="61"/>
    </row>
    <row r="70" spans="2:4" ht="25.5" customHeight="1" x14ac:dyDescent="0.25">
      <c r="B70" s="484" t="str">
        <f>+B51</f>
        <v>NOTA 9</v>
      </c>
      <c r="C70" s="484"/>
      <c r="D70" s="2"/>
    </row>
    <row r="71" spans="2:4" ht="25.5" customHeight="1" x14ac:dyDescent="0.25">
      <c r="B71" s="484" t="str">
        <f>+B52</f>
        <v>Cédula de detalle de cuentas</v>
      </c>
      <c r="C71" s="484"/>
    </row>
    <row r="72" spans="2:4" ht="25.5" customHeight="1" x14ac:dyDescent="0.25">
      <c r="B72" s="484" t="s">
        <v>650</v>
      </c>
      <c r="C72" s="484"/>
    </row>
    <row r="73" spans="2:4" ht="25.5" customHeight="1" x14ac:dyDescent="0.25">
      <c r="B73" s="496">
        <v>45504</v>
      </c>
      <c r="C73" s="496"/>
    </row>
    <row r="74" spans="2:4" ht="25.5" customHeight="1" thickBot="1" x14ac:dyDescent="0.3"/>
    <row r="75" spans="2:4" ht="24.75" customHeight="1" thickBot="1" x14ac:dyDescent="0.3">
      <c r="B75" s="168" t="s">
        <v>183</v>
      </c>
      <c r="C75" s="169" t="s">
        <v>156</v>
      </c>
    </row>
    <row r="76" spans="2:4" ht="23.25" customHeight="1" x14ac:dyDescent="0.25">
      <c r="B76" s="356" t="s">
        <v>702</v>
      </c>
      <c r="C76" s="432">
        <v>658898.54</v>
      </c>
    </row>
    <row r="77" spans="2:4" ht="24.75" customHeight="1" x14ac:dyDescent="0.4">
      <c r="B77" s="86" t="s">
        <v>168</v>
      </c>
      <c r="C77" s="88">
        <f>SUM(C76:C76)</f>
        <v>658898.54</v>
      </c>
    </row>
    <row r="78" spans="2:4" ht="24.75" customHeight="1" thickBot="1" x14ac:dyDescent="0.3">
      <c r="B78" s="89"/>
      <c r="C78" s="171"/>
    </row>
    <row r="79" spans="2:4" ht="24.75" customHeight="1" x14ac:dyDescent="0.25">
      <c r="C79" s="61"/>
    </row>
    <row r="80" spans="2:4" ht="24.75" customHeight="1" x14ac:dyDescent="0.25">
      <c r="C80" s="61"/>
    </row>
    <row r="84" spans="2:3" ht="24.75" customHeight="1" x14ac:dyDescent="0.25">
      <c r="C84" s="20"/>
    </row>
    <row r="86" spans="2:3" ht="24.75" customHeight="1" x14ac:dyDescent="0.25">
      <c r="B86" s="484" t="s">
        <v>182</v>
      </c>
      <c r="C86" s="484"/>
    </row>
    <row r="87" spans="2:3" ht="24.75" customHeight="1" x14ac:dyDescent="0.25">
      <c r="B87" s="484" t="s">
        <v>170</v>
      </c>
      <c r="C87" s="484"/>
    </row>
    <row r="88" spans="2:3" ht="24.75" customHeight="1" x14ac:dyDescent="0.25">
      <c r="B88" s="484" t="s">
        <v>650</v>
      </c>
      <c r="C88" s="484"/>
    </row>
    <row r="89" spans="2:3" ht="24.75" customHeight="1" x14ac:dyDescent="0.25">
      <c r="B89" s="496">
        <v>45504</v>
      </c>
      <c r="C89" s="496"/>
    </row>
    <row r="90" spans="2:3" ht="24.75" customHeight="1" thickBot="1" x14ac:dyDescent="0.3"/>
    <row r="91" spans="2:3" ht="24.75" customHeight="1" thickBot="1" x14ac:dyDescent="0.3">
      <c r="B91" s="168" t="s">
        <v>183</v>
      </c>
      <c r="C91" s="169" t="s">
        <v>156</v>
      </c>
    </row>
    <row r="92" spans="2:3" ht="24.75" customHeight="1" thickBot="1" x14ac:dyDescent="0.3">
      <c r="B92" s="356" t="s">
        <v>827</v>
      </c>
      <c r="C92" s="432">
        <v>862999.51</v>
      </c>
    </row>
    <row r="93" spans="2:3" ht="24.75" customHeight="1" x14ac:dyDescent="0.25">
      <c r="B93" s="356" t="s">
        <v>828</v>
      </c>
      <c r="C93" s="311">
        <v>130092.33</v>
      </c>
    </row>
    <row r="94" spans="2:3" ht="24.75" customHeight="1" x14ac:dyDescent="0.4">
      <c r="B94" s="86" t="s">
        <v>168</v>
      </c>
      <c r="C94" s="88">
        <f>SUM(C92:C93)</f>
        <v>993091.84</v>
      </c>
    </row>
    <row r="95" spans="2:3" ht="24.75" customHeight="1" thickBot="1" x14ac:dyDescent="0.3">
      <c r="B95" s="89"/>
      <c r="C95" s="171"/>
    </row>
  </sheetData>
  <mergeCells count="20">
    <mergeCell ref="B87:C87"/>
    <mergeCell ref="B88:C88"/>
    <mergeCell ref="B89:C89"/>
    <mergeCell ref="B86:C86"/>
    <mergeCell ref="B53:C53"/>
    <mergeCell ref="B54:C54"/>
    <mergeCell ref="B70:C70"/>
    <mergeCell ref="B71:C71"/>
    <mergeCell ref="B73:C73"/>
    <mergeCell ref="B72:C72"/>
    <mergeCell ref="B3:C3"/>
    <mergeCell ref="B4:C4"/>
    <mergeCell ref="B5:C5"/>
    <mergeCell ref="B6:C6"/>
    <mergeCell ref="B51:C51"/>
    <mergeCell ref="B52:C52"/>
    <mergeCell ref="B33:C33"/>
    <mergeCell ref="B34:C34"/>
    <mergeCell ref="B35:C35"/>
    <mergeCell ref="B36:C36"/>
  </mergeCells>
  <pageMargins left="0.9055118110236221" right="0.31496062992125984" top="0.74803149606299213" bottom="0.74803149606299213" header="0.31496062992125984" footer="0.31496062992125984"/>
  <pageSetup scale="85" orientation="portrait" r:id="rId1"/>
  <rowBreaks count="1" manualBreakCount="1">
    <brk id="30" max="2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4FE72-4F63-4CFA-8E3D-5CC06D82A2B3}">
  <dimension ref="A1:E44"/>
  <sheetViews>
    <sheetView view="pageBreakPreview" zoomScale="90" zoomScaleNormal="100" zoomScaleSheetLayoutView="90" workbookViewId="0">
      <selection activeCell="C15" sqref="A1:C15"/>
    </sheetView>
  </sheetViews>
  <sheetFormatPr baseColWidth="10" defaultColWidth="9.140625" defaultRowHeight="24.75" customHeight="1" x14ac:dyDescent="0.25"/>
  <cols>
    <col min="1" max="1" width="72.85546875" style="1" customWidth="1"/>
    <col min="2" max="3" width="25.28515625" style="1" customWidth="1"/>
    <col min="4" max="4" width="17.42578125" style="1" bestFit="1" customWidth="1"/>
    <col min="5" max="5" width="16.85546875" style="1" customWidth="1"/>
    <col min="6" max="6" width="12.42578125" style="1" customWidth="1"/>
    <col min="7" max="16384" width="9.140625" style="1"/>
  </cols>
  <sheetData>
    <row r="1" spans="1:5" ht="24.75" customHeight="1" x14ac:dyDescent="0.25">
      <c r="B1" s="2"/>
      <c r="C1" s="93"/>
    </row>
    <row r="2" spans="1:5" ht="24.75" customHeight="1" x14ac:dyDescent="0.25">
      <c r="A2" s="16"/>
      <c r="B2" s="16"/>
      <c r="C2" s="16"/>
    </row>
    <row r="3" spans="1:5" ht="24.75" customHeight="1" x14ac:dyDescent="0.25">
      <c r="A3" s="484" t="s">
        <v>618</v>
      </c>
      <c r="B3" s="484"/>
      <c r="C3" s="53"/>
    </row>
    <row r="4" spans="1:5" ht="24.75" customHeight="1" x14ac:dyDescent="0.25">
      <c r="A4" s="484" t="s">
        <v>170</v>
      </c>
      <c r="B4" s="484"/>
      <c r="C4" s="53"/>
    </row>
    <row r="5" spans="1:5" ht="24.75" customHeight="1" x14ac:dyDescent="0.25">
      <c r="A5" s="484" t="s">
        <v>684</v>
      </c>
      <c r="B5" s="484"/>
      <c r="C5" s="53"/>
    </row>
    <row r="6" spans="1:5" ht="24.75" customHeight="1" x14ac:dyDescent="0.25">
      <c r="A6" s="496">
        <v>45473</v>
      </c>
      <c r="B6" s="496"/>
      <c r="C6" s="73"/>
      <c r="D6" s="19"/>
      <c r="E6" s="70"/>
    </row>
    <row r="7" spans="1:5" ht="24.75" customHeight="1" thickBot="1" x14ac:dyDescent="0.3">
      <c r="A7" s="74"/>
      <c r="B7" s="305"/>
      <c r="C7" s="407"/>
      <c r="D7" s="19"/>
      <c r="E7" s="2"/>
    </row>
    <row r="8" spans="1:5" ht="21.75" customHeight="1" thickBot="1" x14ac:dyDescent="0.3">
      <c r="A8" s="76" t="s">
        <v>183</v>
      </c>
      <c r="B8" s="78" t="s">
        <v>156</v>
      </c>
      <c r="C8" s="53"/>
      <c r="D8" s="19"/>
      <c r="E8" s="2"/>
    </row>
    <row r="9" spans="1:5" ht="30" hidden="1" customHeight="1" x14ac:dyDescent="0.25">
      <c r="A9" s="306" t="s">
        <v>686</v>
      </c>
      <c r="B9" s="408">
        <v>0</v>
      </c>
      <c r="C9" s="405"/>
    </row>
    <row r="10" spans="1:5" ht="30" customHeight="1" x14ac:dyDescent="0.4">
      <c r="A10" s="308" t="s">
        <v>654</v>
      </c>
      <c r="B10" s="247">
        <v>0</v>
      </c>
      <c r="C10" s="406"/>
      <c r="E10" s="20"/>
    </row>
    <row r="11" spans="1:5" ht="30" customHeight="1" x14ac:dyDescent="0.4">
      <c r="A11" s="309" t="s">
        <v>647</v>
      </c>
      <c r="B11" s="310">
        <f>SUM(B9:B10)</f>
        <v>0</v>
      </c>
      <c r="C11" s="93"/>
    </row>
    <row r="12" spans="1:5" ht="24.75" customHeight="1" thickBot="1" x14ac:dyDescent="0.3">
      <c r="A12" s="89"/>
      <c r="B12" s="171"/>
      <c r="C12" s="93"/>
    </row>
    <row r="13" spans="1:5" ht="24.75" customHeight="1" x14ac:dyDescent="0.25">
      <c r="B13" s="61"/>
      <c r="C13" s="93"/>
    </row>
    <row r="14" spans="1:5" ht="24.75" customHeight="1" x14ac:dyDescent="0.25">
      <c r="C14" s="93"/>
    </row>
    <row r="15" spans="1:5" ht="24.75" customHeight="1" x14ac:dyDescent="0.25">
      <c r="C15" s="93"/>
    </row>
    <row r="16" spans="1:5" ht="24.75" customHeight="1" x14ac:dyDescent="0.25">
      <c r="C16" s="93"/>
    </row>
    <row r="17" spans="2:3" ht="24.75" customHeight="1" x14ac:dyDescent="0.25">
      <c r="B17" s="61"/>
      <c r="C17" s="93"/>
    </row>
    <row r="18" spans="2:3" ht="24.75" customHeight="1" x14ac:dyDescent="0.25">
      <c r="B18" s="61"/>
      <c r="C18" s="93"/>
    </row>
    <row r="19" spans="2:3" ht="24.75" customHeight="1" x14ac:dyDescent="0.25">
      <c r="B19" s="61"/>
      <c r="C19" s="93"/>
    </row>
    <row r="20" spans="2:3" ht="24.75" customHeight="1" x14ac:dyDescent="0.25">
      <c r="B20" s="61"/>
      <c r="C20" s="93"/>
    </row>
    <row r="21" spans="2:3" ht="24.75" customHeight="1" x14ac:dyDescent="0.25">
      <c r="B21" s="61"/>
      <c r="C21" s="93"/>
    </row>
    <row r="22" spans="2:3" ht="24.75" customHeight="1" x14ac:dyDescent="0.25">
      <c r="B22" s="61"/>
      <c r="C22" s="93"/>
    </row>
    <row r="23" spans="2:3" ht="24.75" customHeight="1" x14ac:dyDescent="0.25">
      <c r="B23" s="61"/>
      <c r="C23" s="93"/>
    </row>
    <row r="24" spans="2:3" ht="24.75" customHeight="1" x14ac:dyDescent="0.25">
      <c r="B24" s="61"/>
      <c r="C24" s="93"/>
    </row>
    <row r="25" spans="2:3" ht="24.75" customHeight="1" x14ac:dyDescent="0.25">
      <c r="B25" s="61"/>
      <c r="C25" s="93"/>
    </row>
    <row r="26" spans="2:3" ht="24.75" customHeight="1" x14ac:dyDescent="0.25">
      <c r="B26" s="61"/>
      <c r="C26" s="93"/>
    </row>
    <row r="27" spans="2:3" ht="24.75" customHeight="1" x14ac:dyDescent="0.25">
      <c r="B27" s="61"/>
      <c r="C27" s="93"/>
    </row>
    <row r="28" spans="2:3" ht="24.75" customHeight="1" x14ac:dyDescent="0.25">
      <c r="B28" s="61"/>
      <c r="C28" s="93"/>
    </row>
    <row r="29" spans="2:3" ht="24.75" customHeight="1" x14ac:dyDescent="0.25">
      <c r="B29" s="61"/>
      <c r="C29" s="93"/>
    </row>
    <row r="33" spans="1:2" ht="24.75" customHeight="1" x14ac:dyDescent="0.25">
      <c r="A33" s="484" t="str">
        <f>+A3</f>
        <v>NOTA 10</v>
      </c>
      <c r="B33" s="484"/>
    </row>
    <row r="34" spans="1:2" ht="24.75" customHeight="1" x14ac:dyDescent="0.25">
      <c r="A34" s="484" t="str">
        <f>+A4</f>
        <v>Cédula de detalle de cuentas</v>
      </c>
      <c r="B34" s="484"/>
    </row>
    <row r="35" spans="1:2" ht="24.75" customHeight="1" x14ac:dyDescent="0.25">
      <c r="A35" s="484" t="s">
        <v>655</v>
      </c>
      <c r="B35" s="484"/>
    </row>
    <row r="36" spans="1:2" ht="24.75" customHeight="1" x14ac:dyDescent="0.25">
      <c r="A36" s="496">
        <v>45504</v>
      </c>
      <c r="B36" s="496"/>
    </row>
    <row r="37" spans="1:2" ht="24.75" customHeight="1" thickBot="1" x14ac:dyDescent="0.3"/>
    <row r="38" spans="1:2" ht="24.75" customHeight="1" thickBot="1" x14ac:dyDescent="0.3">
      <c r="A38" s="76" t="s">
        <v>183</v>
      </c>
      <c r="B38" s="78" t="s">
        <v>156</v>
      </c>
    </row>
    <row r="39" spans="1:2" ht="30" customHeight="1" x14ac:dyDescent="0.25">
      <c r="A39" s="306" t="s">
        <v>778</v>
      </c>
      <c r="B39" s="80">
        <v>150498.4</v>
      </c>
    </row>
    <row r="40" spans="1:2" ht="30" customHeight="1" x14ac:dyDescent="0.25">
      <c r="A40" s="306" t="s">
        <v>779</v>
      </c>
      <c r="B40" s="80">
        <v>124585.92</v>
      </c>
    </row>
    <row r="41" spans="1:2" ht="30" customHeight="1" x14ac:dyDescent="0.25">
      <c r="A41" s="306" t="s">
        <v>780</v>
      </c>
      <c r="B41" s="80">
        <v>16520</v>
      </c>
    </row>
    <row r="42" spans="1:2" ht="30" customHeight="1" x14ac:dyDescent="0.4">
      <c r="A42" s="306" t="s">
        <v>777</v>
      </c>
      <c r="B42" s="456">
        <v>473770</v>
      </c>
    </row>
    <row r="43" spans="1:2" ht="29.25" customHeight="1" x14ac:dyDescent="0.4">
      <c r="A43" s="409" t="s">
        <v>168</v>
      </c>
      <c r="B43" s="310">
        <f>SUM(B39:B42)</f>
        <v>765374.32000000007</v>
      </c>
    </row>
    <row r="44" spans="1:2" ht="24.75" customHeight="1" thickBot="1" x14ac:dyDescent="0.3">
      <c r="A44" s="89"/>
      <c r="B44" s="171"/>
    </row>
  </sheetData>
  <mergeCells count="8">
    <mergeCell ref="A33:B33"/>
    <mergeCell ref="A34:B34"/>
    <mergeCell ref="A35:B35"/>
    <mergeCell ref="A36:B36"/>
    <mergeCell ref="A3:B3"/>
    <mergeCell ref="A4:B4"/>
    <mergeCell ref="A5:B5"/>
    <mergeCell ref="A6:B6"/>
  </mergeCells>
  <pageMargins left="0.53" right="0.31496062992125984" top="0.74803149606299213" bottom="0.74803149606299213" header="0.31496062992125984" footer="0.31496062992125984"/>
  <pageSetup scale="94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59"/>
  <sheetViews>
    <sheetView view="pageBreakPreview" zoomScale="90" zoomScaleNormal="100" zoomScaleSheetLayoutView="90" workbookViewId="0">
      <selection activeCell="C15" sqref="A1:C15"/>
    </sheetView>
  </sheetViews>
  <sheetFormatPr baseColWidth="10" defaultColWidth="9.140625" defaultRowHeight="24.75" customHeight="1" x14ac:dyDescent="0.25"/>
  <cols>
    <col min="1" max="1" width="57.5703125" style="1" customWidth="1"/>
    <col min="2" max="2" width="21.28515625" style="1" customWidth="1"/>
    <col min="3" max="3" width="23.7109375" style="1" bestFit="1" customWidth="1"/>
    <col min="4" max="4" width="20.42578125" style="1" customWidth="1"/>
    <col min="5" max="5" width="20" style="1" customWidth="1"/>
    <col min="6" max="16384" width="9.140625" style="1"/>
  </cols>
  <sheetData>
    <row r="1" spans="1:5" ht="24.75" customHeight="1" x14ac:dyDescent="0.25">
      <c r="B1" s="2"/>
    </row>
    <row r="2" spans="1:5" ht="24.75" customHeight="1" x14ac:dyDescent="0.25">
      <c r="B2" s="429"/>
    </row>
    <row r="3" spans="1:5" ht="24.75" customHeight="1" x14ac:dyDescent="0.25">
      <c r="A3" s="484" t="s">
        <v>657</v>
      </c>
      <c r="B3" s="484"/>
    </row>
    <row r="4" spans="1:5" ht="24.75" customHeight="1" x14ac:dyDescent="0.25">
      <c r="A4" s="484" t="s">
        <v>170</v>
      </c>
      <c r="B4" s="484"/>
    </row>
    <row r="5" spans="1:5" ht="24.75" customHeight="1" x14ac:dyDescent="0.25">
      <c r="A5" s="484" t="s">
        <v>616</v>
      </c>
      <c r="B5" s="484"/>
    </row>
    <row r="6" spans="1:5" ht="24.75" customHeight="1" x14ac:dyDescent="0.25">
      <c r="A6" s="496">
        <v>45504</v>
      </c>
      <c r="B6" s="496"/>
    </row>
    <row r="7" spans="1:5" ht="24.75" customHeight="1" thickBot="1" x14ac:dyDescent="0.3">
      <c r="A7" s="74"/>
      <c r="B7" s="248"/>
    </row>
    <row r="8" spans="1:5" ht="24.75" customHeight="1" thickBot="1" x14ac:dyDescent="0.3">
      <c r="A8" s="76" t="s">
        <v>183</v>
      </c>
      <c r="B8" s="78" t="s">
        <v>156</v>
      </c>
    </row>
    <row r="9" spans="1:5" ht="24.75" customHeight="1" x14ac:dyDescent="0.25">
      <c r="A9" s="246" t="s">
        <v>617</v>
      </c>
      <c r="B9" s="249">
        <v>553012.51</v>
      </c>
      <c r="C9" s="2"/>
    </row>
    <row r="10" spans="1:5" ht="24.75" customHeight="1" x14ac:dyDescent="0.25">
      <c r="A10" s="81" t="s">
        <v>274</v>
      </c>
      <c r="B10" s="249">
        <v>9600692.4499999993</v>
      </c>
      <c r="C10" s="2"/>
      <c r="D10" s="429"/>
      <c r="E10" s="2"/>
    </row>
    <row r="11" spans="1:5" ht="24.75" customHeight="1" x14ac:dyDescent="0.25">
      <c r="A11" s="81" t="s">
        <v>781</v>
      </c>
      <c r="B11" s="249">
        <v>0</v>
      </c>
      <c r="C11" s="2"/>
      <c r="D11" s="429"/>
      <c r="E11" s="2"/>
    </row>
    <row r="12" spans="1:5" ht="24.75" customHeight="1" x14ac:dyDescent="0.25">
      <c r="A12" s="81" t="s">
        <v>275</v>
      </c>
      <c r="B12" s="250">
        <v>6635685.4699999997</v>
      </c>
      <c r="C12" s="2"/>
      <c r="E12" s="2"/>
    </row>
    <row r="13" spans="1:5" ht="24.75" customHeight="1" x14ac:dyDescent="0.4">
      <c r="A13" s="81" t="s">
        <v>276</v>
      </c>
      <c r="B13" s="251">
        <v>5576538.3399999999</v>
      </c>
      <c r="C13" s="2"/>
      <c r="E13" s="2"/>
    </row>
    <row r="14" spans="1:5" ht="24.75" customHeight="1" x14ac:dyDescent="0.4">
      <c r="A14" s="313" t="s">
        <v>169</v>
      </c>
      <c r="B14" s="88">
        <f>SUM(B9:B13)</f>
        <v>22365928.77</v>
      </c>
      <c r="C14" s="2"/>
      <c r="E14" s="2"/>
    </row>
    <row r="15" spans="1:5" ht="24.75" customHeight="1" thickBot="1" x14ac:dyDescent="0.3">
      <c r="A15" s="252"/>
      <c r="B15" s="91"/>
      <c r="C15" s="2"/>
    </row>
    <row r="16" spans="1:5" ht="24.75" customHeight="1" x14ac:dyDescent="0.25">
      <c r="B16" s="2"/>
      <c r="C16" s="2"/>
    </row>
    <row r="17" spans="1:3" ht="24.75" customHeight="1" x14ac:dyDescent="0.25">
      <c r="B17" s="2">
        <f>+B14-'A-SITUACION ANEXOS'!D148</f>
        <v>0</v>
      </c>
      <c r="C17" s="2"/>
    </row>
    <row r="18" spans="1:3" ht="24.75" customHeight="1" x14ac:dyDescent="0.25">
      <c r="B18" s="2"/>
    </row>
    <row r="19" spans="1:3" ht="24.75" customHeight="1" x14ac:dyDescent="0.25">
      <c r="B19" s="2"/>
    </row>
    <row r="20" spans="1:3" ht="24.75" customHeight="1" x14ac:dyDescent="0.25">
      <c r="B20" s="2"/>
    </row>
    <row r="21" spans="1:3" ht="24.75" customHeight="1" x14ac:dyDescent="0.25">
      <c r="B21" s="2"/>
    </row>
    <row r="22" spans="1:3" ht="24.75" customHeight="1" x14ac:dyDescent="0.25">
      <c r="B22" s="2"/>
    </row>
    <row r="23" spans="1:3" ht="24.75" customHeight="1" x14ac:dyDescent="0.25">
      <c r="B23" s="2"/>
    </row>
    <row r="24" spans="1:3" ht="24.75" customHeight="1" x14ac:dyDescent="0.25">
      <c r="B24" s="2"/>
    </row>
    <row r="25" spans="1:3" ht="24.75" customHeight="1" x14ac:dyDescent="0.25">
      <c r="B25" s="2"/>
    </row>
    <row r="26" spans="1:3" ht="24.75" customHeight="1" x14ac:dyDescent="0.25">
      <c r="B26" s="2"/>
    </row>
    <row r="27" spans="1:3" ht="24.75" customHeight="1" x14ac:dyDescent="0.25">
      <c r="A27" s="16"/>
      <c r="B27" s="16"/>
    </row>
    <row r="28" spans="1:3" ht="24.75" customHeight="1" x14ac:dyDescent="0.25">
      <c r="A28" s="16"/>
      <c r="B28" s="16"/>
    </row>
    <row r="29" spans="1:3" ht="24.75" customHeight="1" x14ac:dyDescent="0.25">
      <c r="A29" s="16"/>
      <c r="B29" s="16"/>
    </row>
    <row r="30" spans="1:3" ht="24.75" customHeight="1" x14ac:dyDescent="0.25">
      <c r="A30" s="16"/>
      <c r="B30" s="16"/>
    </row>
    <row r="31" spans="1:3" ht="24.75" customHeight="1" x14ac:dyDescent="0.25">
      <c r="A31" s="16"/>
      <c r="B31" s="16"/>
    </row>
    <row r="32" spans="1:3" ht="24.75" customHeight="1" x14ac:dyDescent="0.25">
      <c r="A32" s="16"/>
      <c r="B32" s="16"/>
    </row>
    <row r="33" spans="1:3" ht="24.75" customHeight="1" x14ac:dyDescent="0.25">
      <c r="A33" s="16"/>
      <c r="B33" s="16"/>
    </row>
    <row r="34" spans="1:3" ht="24.75" customHeight="1" x14ac:dyDescent="0.25">
      <c r="A34" s="484" t="str">
        <f>+A3</f>
        <v>NOTA 11</v>
      </c>
      <c r="B34" s="484"/>
    </row>
    <row r="35" spans="1:3" ht="24.75" customHeight="1" x14ac:dyDescent="0.25">
      <c r="A35" s="484" t="str">
        <f>+A4</f>
        <v>Cédula de detalle de cuentas</v>
      </c>
      <c r="B35" s="484"/>
      <c r="C35" s="254"/>
    </row>
    <row r="36" spans="1:3" ht="24.75" customHeight="1" x14ac:dyDescent="0.25">
      <c r="A36" s="484" t="s">
        <v>661</v>
      </c>
      <c r="B36" s="484"/>
    </row>
    <row r="37" spans="1:3" ht="24.75" customHeight="1" x14ac:dyDescent="0.25">
      <c r="A37" s="496">
        <v>45504</v>
      </c>
      <c r="B37" s="496"/>
    </row>
    <row r="38" spans="1:3" ht="24.75" customHeight="1" thickBot="1" x14ac:dyDescent="0.3">
      <c r="A38" s="74"/>
      <c r="B38" s="53"/>
    </row>
    <row r="39" spans="1:3" ht="24.75" customHeight="1" thickBot="1" x14ac:dyDescent="0.3">
      <c r="A39" s="76" t="s">
        <v>183</v>
      </c>
      <c r="B39" s="78" t="s">
        <v>156</v>
      </c>
    </row>
    <row r="40" spans="1:3" ht="24.75" customHeight="1" x14ac:dyDescent="0.25">
      <c r="A40" s="79" t="s">
        <v>820</v>
      </c>
      <c r="B40" s="293">
        <v>11117.51</v>
      </c>
    </row>
    <row r="41" spans="1:3" ht="40.5" customHeight="1" x14ac:dyDescent="0.25">
      <c r="A41" s="317" t="s">
        <v>821</v>
      </c>
      <c r="B41" s="293">
        <v>6080</v>
      </c>
    </row>
    <row r="42" spans="1:3" ht="33.75" customHeight="1" x14ac:dyDescent="0.25">
      <c r="A42" s="317" t="s">
        <v>822</v>
      </c>
      <c r="B42" s="293">
        <v>62400</v>
      </c>
    </row>
    <row r="43" spans="1:3" ht="33.75" hidden="1" customHeight="1" x14ac:dyDescent="0.25">
      <c r="A43" s="317" t="s">
        <v>670</v>
      </c>
      <c r="B43" s="293">
        <v>0</v>
      </c>
    </row>
    <row r="44" spans="1:3" ht="36.75" customHeight="1" x14ac:dyDescent="0.4">
      <c r="A44" s="317" t="s">
        <v>823</v>
      </c>
      <c r="B44" s="294">
        <v>473415</v>
      </c>
    </row>
    <row r="45" spans="1:3" ht="24.75" customHeight="1" x14ac:dyDescent="0.4">
      <c r="A45" s="81"/>
      <c r="B45" s="88">
        <f>SUM(B40:B44)</f>
        <v>553012.51</v>
      </c>
    </row>
    <row r="46" spans="1:3" ht="24.75" customHeight="1" thickBot="1" x14ac:dyDescent="0.3">
      <c r="A46" s="89"/>
      <c r="B46" s="255">
        <f>+B45-B9</f>
        <v>0</v>
      </c>
    </row>
    <row r="47" spans="1:3" ht="24.75" customHeight="1" x14ac:dyDescent="0.25">
      <c r="B47" s="2"/>
    </row>
    <row r="48" spans="1:3" ht="24.75" customHeight="1" x14ac:dyDescent="0.25">
      <c r="B48" s="2"/>
    </row>
    <row r="49" spans="2:2" ht="24.75" customHeight="1" x14ac:dyDescent="0.25">
      <c r="B49" s="2"/>
    </row>
    <row r="50" spans="2:2" ht="24.75" customHeight="1" x14ac:dyDescent="0.25">
      <c r="B50" s="2"/>
    </row>
    <row r="51" spans="2:2" ht="24.75" customHeight="1" x14ac:dyDescent="0.25">
      <c r="B51" s="2"/>
    </row>
    <row r="52" spans="2:2" ht="24.75" customHeight="1" x14ac:dyDescent="0.25">
      <c r="B52" s="2"/>
    </row>
    <row r="53" spans="2:2" ht="24.75" customHeight="1" x14ac:dyDescent="0.25">
      <c r="B53" s="2"/>
    </row>
    <row r="54" spans="2:2" ht="24.75" customHeight="1" x14ac:dyDescent="0.25">
      <c r="B54" s="2"/>
    </row>
    <row r="55" spans="2:2" ht="24.75" customHeight="1" x14ac:dyDescent="0.25">
      <c r="B55" s="2"/>
    </row>
    <row r="56" spans="2:2" ht="24.75" customHeight="1" x14ac:dyDescent="0.25">
      <c r="B56" s="2"/>
    </row>
    <row r="57" spans="2:2" ht="24.75" customHeight="1" x14ac:dyDescent="0.25">
      <c r="B57" s="2"/>
    </row>
    <row r="58" spans="2:2" ht="24.75" customHeight="1" x14ac:dyDescent="0.25">
      <c r="B58" s="2"/>
    </row>
    <row r="59" spans="2:2" ht="24.75" customHeight="1" x14ac:dyDescent="0.25">
      <c r="B59" s="2"/>
    </row>
  </sheetData>
  <mergeCells count="8">
    <mergeCell ref="A36:B36"/>
    <mergeCell ref="A37:B37"/>
    <mergeCell ref="A35:B35"/>
    <mergeCell ref="A3:B3"/>
    <mergeCell ref="A4:B4"/>
    <mergeCell ref="A5:B5"/>
    <mergeCell ref="A6:B6"/>
    <mergeCell ref="A34:B34"/>
  </mergeCells>
  <phoneticPr fontId="32" type="noConversion"/>
  <printOptions horizontalCentered="1"/>
  <pageMargins left="0.70866141732283472" right="0.31496062992125984" top="0.74803149606299213" bottom="0.74803149606299213" header="0.31496062992125984" footer="0.31496062992125984"/>
  <pageSetup scale="94" orientation="portrait" r:id="rId1"/>
  <rowBreaks count="1" manualBreakCount="1">
    <brk id="59" max="2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5:O48"/>
  <sheetViews>
    <sheetView topLeftCell="A9" workbookViewId="0">
      <selection activeCell="D13" sqref="D13"/>
    </sheetView>
  </sheetViews>
  <sheetFormatPr baseColWidth="10" defaultRowHeight="15.75" x14ac:dyDescent="0.25"/>
  <cols>
    <col min="1" max="1" width="10.85546875" style="1" customWidth="1"/>
    <col min="2" max="2" width="41" style="1" bestFit="1" customWidth="1"/>
    <col min="3" max="3" width="20.140625" style="1" bestFit="1" customWidth="1"/>
    <col min="4" max="4" width="26.28515625" style="1" bestFit="1" customWidth="1"/>
    <col min="5" max="5" width="17.28515625" style="1" bestFit="1" customWidth="1"/>
    <col min="6" max="9" width="11.42578125" style="1"/>
    <col min="10" max="10" width="16" style="1" bestFit="1" customWidth="1"/>
    <col min="11" max="11" width="15.85546875" style="1" bestFit="1" customWidth="1"/>
    <col min="12" max="12" width="16" style="1" bestFit="1" customWidth="1"/>
    <col min="13" max="13" width="15.7109375" style="1" bestFit="1" customWidth="1"/>
    <col min="14" max="14" width="15.85546875" style="1" bestFit="1" customWidth="1"/>
    <col min="15" max="16384" width="11.42578125" style="1"/>
  </cols>
  <sheetData>
    <row r="5" spans="1:4" s="52" customFormat="1" ht="18.75" x14ac:dyDescent="0.3">
      <c r="A5" s="272" t="s">
        <v>566</v>
      </c>
    </row>
    <row r="6" spans="1:4" s="52" customFormat="1" ht="18.75" x14ac:dyDescent="0.3">
      <c r="A6" s="52" t="s">
        <v>556</v>
      </c>
    </row>
    <row r="7" spans="1:4" ht="16.5" thickBot="1" x14ac:dyDescent="0.3"/>
    <row r="8" spans="1:4" ht="22.5" customHeight="1" thickBot="1" x14ac:dyDescent="0.3">
      <c r="A8" s="264" t="s">
        <v>557</v>
      </c>
      <c r="B8" s="288" t="s">
        <v>324</v>
      </c>
      <c r="C8" s="288" t="s">
        <v>554</v>
      </c>
      <c r="D8" s="289" t="s">
        <v>572</v>
      </c>
    </row>
    <row r="9" spans="1:4" ht="31.5" x14ac:dyDescent="0.25">
      <c r="A9" s="284">
        <v>1</v>
      </c>
      <c r="B9" s="285" t="s">
        <v>558</v>
      </c>
      <c r="C9" s="286">
        <v>9689880</v>
      </c>
      <c r="D9" s="287">
        <f>+C9*1</f>
        <v>9689880</v>
      </c>
    </row>
    <row r="10" spans="1:4" x14ac:dyDescent="0.25">
      <c r="A10" s="152">
        <v>2</v>
      </c>
      <c r="B10" s="152" t="s">
        <v>559</v>
      </c>
      <c r="C10" s="278">
        <v>540860</v>
      </c>
      <c r="D10" s="277">
        <f>+C10*2.5</f>
        <v>1352150</v>
      </c>
    </row>
    <row r="11" spans="1:4" x14ac:dyDescent="0.25">
      <c r="A11" s="276">
        <v>3</v>
      </c>
      <c r="B11" s="152" t="s">
        <v>567</v>
      </c>
      <c r="C11" s="278">
        <v>35000</v>
      </c>
      <c r="D11" s="277">
        <f>+C11</f>
        <v>35000</v>
      </c>
    </row>
    <row r="12" spans="1:4" x14ac:dyDescent="0.25">
      <c r="A12" s="152">
        <v>4</v>
      </c>
      <c r="B12" s="152" t="s">
        <v>568</v>
      </c>
      <c r="C12" s="278">
        <v>740000</v>
      </c>
      <c r="D12" s="277">
        <f>+C12</f>
        <v>740000</v>
      </c>
    </row>
    <row r="13" spans="1:4" x14ac:dyDescent="0.25">
      <c r="A13" s="276">
        <v>5</v>
      </c>
      <c r="B13" s="152" t="s">
        <v>569</v>
      </c>
      <c r="C13" s="278">
        <v>610000</v>
      </c>
      <c r="D13" s="277">
        <f>+C13</f>
        <v>610000</v>
      </c>
    </row>
    <row r="14" spans="1:4" x14ac:dyDescent="0.25">
      <c r="A14" s="152">
        <v>6</v>
      </c>
      <c r="B14" s="152" t="s">
        <v>570</v>
      </c>
      <c r="C14" s="278">
        <v>1247700</v>
      </c>
      <c r="D14" s="277">
        <f>+C14</f>
        <v>1247700</v>
      </c>
    </row>
    <row r="15" spans="1:4" x14ac:dyDescent="0.25">
      <c r="A15" s="276">
        <v>7</v>
      </c>
      <c r="B15" s="152" t="s">
        <v>560</v>
      </c>
      <c r="C15" s="278">
        <v>8279020</v>
      </c>
      <c r="D15" s="277">
        <f>+C15*1</f>
        <v>8279020</v>
      </c>
    </row>
    <row r="16" spans="1:4" x14ac:dyDescent="0.25">
      <c r="A16" s="152">
        <v>8</v>
      </c>
      <c r="B16" s="279" t="s">
        <v>571</v>
      </c>
      <c r="C16" s="278">
        <v>8279020</v>
      </c>
      <c r="D16" s="277">
        <f>+C16*2.5</f>
        <v>20697550</v>
      </c>
    </row>
    <row r="17" spans="1:15" x14ac:dyDescent="0.25">
      <c r="A17" s="276">
        <v>9</v>
      </c>
      <c r="B17" s="152" t="s">
        <v>561</v>
      </c>
      <c r="C17" s="278">
        <v>870000</v>
      </c>
      <c r="D17" s="277">
        <f>+C17*2</f>
        <v>1740000</v>
      </c>
    </row>
    <row r="18" spans="1:15" x14ac:dyDescent="0.25">
      <c r="A18" s="152"/>
      <c r="B18" s="259" t="s">
        <v>325</v>
      </c>
      <c r="C18" s="259"/>
      <c r="D18" s="280">
        <f>SUM(D9:D17)</f>
        <v>44391300</v>
      </c>
    </row>
    <row r="19" spans="1:15" x14ac:dyDescent="0.25">
      <c r="A19" s="152"/>
      <c r="B19" s="127"/>
      <c r="C19" s="127"/>
      <c r="D19" s="127"/>
    </row>
    <row r="20" spans="1:15" x14ac:dyDescent="0.25">
      <c r="A20" s="152"/>
      <c r="B20" s="127"/>
      <c r="C20" s="153" t="s">
        <v>326</v>
      </c>
      <c r="D20" s="275" t="s">
        <v>562</v>
      </c>
    </row>
    <row r="21" spans="1:15" ht="18" x14ac:dyDescent="0.4">
      <c r="A21" s="152"/>
      <c r="B21" s="281" t="s">
        <v>565</v>
      </c>
      <c r="C21" s="282"/>
      <c r="D21" s="283">
        <f>+D18/12</f>
        <v>3699275</v>
      </c>
    </row>
    <row r="22" spans="1:15" x14ac:dyDescent="0.25">
      <c r="A22" s="152"/>
      <c r="B22" s="127"/>
      <c r="C22" s="127"/>
      <c r="D22" s="127"/>
    </row>
    <row r="23" spans="1:15" x14ac:dyDescent="0.25">
      <c r="A23" s="71"/>
      <c r="J23" s="2"/>
      <c r="K23" s="2"/>
      <c r="L23" s="2"/>
      <c r="M23" s="2"/>
      <c r="N23" s="2"/>
      <c r="O23" s="2"/>
    </row>
    <row r="24" spans="1:15" x14ac:dyDescent="0.25">
      <c r="A24" s="71"/>
      <c r="J24" s="2"/>
      <c r="K24" s="2"/>
      <c r="L24" s="2"/>
      <c r="M24" s="2"/>
      <c r="N24" s="2"/>
      <c r="O24" s="2"/>
    </row>
    <row r="25" spans="1:15" x14ac:dyDescent="0.25">
      <c r="B25" s="273"/>
      <c r="J25" s="2"/>
      <c r="K25" s="2"/>
      <c r="L25" s="2"/>
      <c r="M25" s="2"/>
      <c r="N25" s="2"/>
      <c r="O25" s="2"/>
    </row>
    <row r="26" spans="1:15" x14ac:dyDescent="0.25">
      <c r="B26" s="271" t="s">
        <v>563</v>
      </c>
      <c r="C26" s="271" t="s">
        <v>169</v>
      </c>
      <c r="J26" s="2"/>
      <c r="K26" s="2"/>
      <c r="L26" s="2"/>
      <c r="M26" s="2"/>
      <c r="N26" s="2"/>
      <c r="O26" s="2"/>
    </row>
    <row r="27" spans="1:15" x14ac:dyDescent="0.25">
      <c r="B27" s="1" t="s">
        <v>564</v>
      </c>
      <c r="C27" s="295">
        <f>+D21</f>
        <v>3699275</v>
      </c>
      <c r="J27" s="2"/>
      <c r="K27" s="2"/>
      <c r="L27" s="2"/>
      <c r="M27" s="2"/>
      <c r="N27" s="2"/>
      <c r="O27" s="2"/>
    </row>
    <row r="28" spans="1:15" x14ac:dyDescent="0.25">
      <c r="B28" s="1" t="s">
        <v>584</v>
      </c>
      <c r="C28" s="295">
        <v>3699275</v>
      </c>
      <c r="J28" s="2"/>
      <c r="K28" s="2"/>
      <c r="L28" s="2"/>
      <c r="M28" s="2"/>
      <c r="N28" s="2"/>
      <c r="O28" s="2"/>
    </row>
    <row r="29" spans="1:15" x14ac:dyDescent="0.25">
      <c r="B29" s="1" t="s">
        <v>574</v>
      </c>
      <c r="C29" s="295">
        <f>+C27</f>
        <v>3699275</v>
      </c>
      <c r="J29" s="2"/>
      <c r="K29" s="2"/>
      <c r="L29" s="2"/>
      <c r="M29" s="2"/>
      <c r="N29" s="2"/>
      <c r="O29" s="2"/>
    </row>
    <row r="30" spans="1:15" x14ac:dyDescent="0.25">
      <c r="B30" s="1" t="s">
        <v>575</v>
      </c>
      <c r="C30" s="295">
        <f>+C28</f>
        <v>3699275</v>
      </c>
      <c r="E30" s="2"/>
      <c r="J30" s="2"/>
      <c r="K30" s="2"/>
      <c r="L30" s="2"/>
      <c r="M30" s="2"/>
      <c r="N30" s="2"/>
      <c r="O30" s="2"/>
    </row>
    <row r="31" spans="1:15" x14ac:dyDescent="0.25">
      <c r="B31" s="1" t="s">
        <v>576</v>
      </c>
      <c r="C31" s="295">
        <f>+C29</f>
        <v>3699275</v>
      </c>
      <c r="E31" s="2"/>
      <c r="J31" s="2"/>
      <c r="K31" s="2"/>
      <c r="L31" s="2"/>
      <c r="M31" s="2"/>
      <c r="N31" s="2"/>
      <c r="O31" s="2"/>
    </row>
    <row r="32" spans="1:15" x14ac:dyDescent="0.25">
      <c r="B32" s="1" t="s">
        <v>577</v>
      </c>
      <c r="C32" s="295">
        <f>+C30</f>
        <v>3699275</v>
      </c>
      <c r="J32" s="2"/>
      <c r="K32" s="2"/>
      <c r="L32" s="2"/>
      <c r="M32" s="2"/>
      <c r="N32" s="2"/>
      <c r="O32" s="2"/>
    </row>
    <row r="33" spans="1:15" x14ac:dyDescent="0.25">
      <c r="B33" s="3" t="s">
        <v>578</v>
      </c>
      <c r="C33" s="292">
        <v>3699275</v>
      </c>
      <c r="J33" s="2"/>
      <c r="K33" s="2"/>
      <c r="L33" s="2"/>
      <c r="M33" s="2"/>
      <c r="N33" s="2"/>
      <c r="O33" s="2"/>
    </row>
    <row r="34" spans="1:15" hidden="1" x14ac:dyDescent="0.25">
      <c r="B34" s="3" t="s">
        <v>579</v>
      </c>
      <c r="C34" s="292">
        <f>+D29</f>
        <v>0</v>
      </c>
      <c r="J34" s="2"/>
      <c r="K34" s="2"/>
      <c r="L34" s="2"/>
      <c r="M34" s="2"/>
      <c r="N34" s="2"/>
      <c r="O34" s="2"/>
    </row>
    <row r="35" spans="1:15" hidden="1" x14ac:dyDescent="0.25">
      <c r="B35" s="3" t="s">
        <v>580</v>
      </c>
      <c r="C35" s="292">
        <f>+D30</f>
        <v>0</v>
      </c>
      <c r="J35" s="2"/>
      <c r="K35" s="2"/>
      <c r="L35" s="2"/>
      <c r="M35" s="2"/>
      <c r="N35" s="2"/>
      <c r="O35" s="2"/>
    </row>
    <row r="36" spans="1:15" hidden="1" x14ac:dyDescent="0.25">
      <c r="B36" s="3" t="s">
        <v>581</v>
      </c>
      <c r="C36" s="292">
        <f t="shared" ref="C36:C38" si="0">+D30</f>
        <v>0</v>
      </c>
      <c r="J36" s="2"/>
      <c r="K36" s="2"/>
      <c r="L36" s="2"/>
      <c r="M36" s="2"/>
      <c r="N36" s="2"/>
      <c r="O36" s="2"/>
    </row>
    <row r="37" spans="1:15" hidden="1" x14ac:dyDescent="0.25">
      <c r="B37" s="3" t="s">
        <v>582</v>
      </c>
      <c r="C37" s="292">
        <f t="shared" si="0"/>
        <v>0</v>
      </c>
      <c r="J37" s="2"/>
      <c r="K37" s="2"/>
      <c r="L37" s="2"/>
      <c r="M37" s="2"/>
      <c r="N37" s="2"/>
      <c r="O37" s="2"/>
    </row>
    <row r="38" spans="1:15" hidden="1" x14ac:dyDescent="0.25">
      <c r="B38" s="3" t="s">
        <v>583</v>
      </c>
      <c r="C38" s="292">
        <f t="shared" si="0"/>
        <v>0</v>
      </c>
      <c r="J38" s="2"/>
      <c r="K38" s="2"/>
      <c r="L38" s="2"/>
      <c r="M38" s="2"/>
      <c r="N38" s="2"/>
      <c r="O38" s="2"/>
    </row>
    <row r="39" spans="1:15" hidden="1" x14ac:dyDescent="0.25">
      <c r="B39" s="3"/>
      <c r="C39" s="292"/>
      <c r="J39" s="2"/>
      <c r="K39" s="2"/>
      <c r="L39" s="2"/>
      <c r="M39" s="2"/>
      <c r="N39" s="2"/>
      <c r="O39" s="2"/>
    </row>
    <row r="40" spans="1:15" ht="16.5" thickBot="1" x14ac:dyDescent="0.3">
      <c r="B40" s="16" t="s">
        <v>553</v>
      </c>
      <c r="C40" s="274">
        <f>SUM(C27:C39)</f>
        <v>25894925</v>
      </c>
      <c r="J40" s="2"/>
      <c r="K40" s="2"/>
      <c r="L40" s="2"/>
      <c r="M40" s="2"/>
      <c r="N40" s="2"/>
      <c r="O40" s="2"/>
    </row>
    <row r="41" spans="1:15" ht="16.5" thickTop="1" x14ac:dyDescent="0.25">
      <c r="A41" s="71"/>
      <c r="J41" s="2"/>
      <c r="K41" s="2"/>
      <c r="L41" s="2"/>
      <c r="M41" s="2"/>
      <c r="N41" s="2"/>
      <c r="O41" s="2"/>
    </row>
    <row r="42" spans="1:15" x14ac:dyDescent="0.25">
      <c r="A42" s="71"/>
      <c r="C42" s="20" t="s">
        <v>741</v>
      </c>
      <c r="E42" s="2">
        <f>+C28</f>
        <v>3699275</v>
      </c>
      <c r="J42" s="2"/>
      <c r="K42" s="2"/>
      <c r="L42" s="2"/>
      <c r="M42" s="2"/>
      <c r="N42" s="2"/>
      <c r="O42" s="2"/>
    </row>
    <row r="43" spans="1:15" x14ac:dyDescent="0.25">
      <c r="C43" s="1" t="s">
        <v>769</v>
      </c>
      <c r="E43" s="2">
        <v>610609.96</v>
      </c>
    </row>
    <row r="44" spans="1:15" ht="16.5" thickBot="1" x14ac:dyDescent="0.3">
      <c r="C44" s="1" t="s">
        <v>742</v>
      </c>
      <c r="E44" s="413">
        <f>+E42-E43</f>
        <v>3088665.04</v>
      </c>
    </row>
    <row r="45" spans="1:15" ht="16.5" thickTop="1" x14ac:dyDescent="0.25">
      <c r="E45" s="2"/>
    </row>
    <row r="48" spans="1:15" x14ac:dyDescent="0.25">
      <c r="E48" s="20"/>
    </row>
  </sheetData>
  <phoneticPr fontId="32" type="noConversion"/>
  <pageMargins left="0.70866141732283472" right="0.70866141732283472" top="0.74803149606299213" bottom="0.74803149606299213" header="0.31496062992125984" footer="0.31496062992125984"/>
  <pageSetup scale="7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4:AK105"/>
  <sheetViews>
    <sheetView view="pageBreakPreview" zoomScale="70" zoomScaleNormal="100" zoomScaleSheetLayoutView="70" workbookViewId="0">
      <pane xSplit="3" ySplit="7" topLeftCell="D8" activePane="bottomRight" state="frozen"/>
      <selection activeCell="D13" sqref="D13"/>
      <selection pane="topRight" activeCell="D13" sqref="D13"/>
      <selection pane="bottomLeft" activeCell="D13" sqref="D13"/>
      <selection pane="bottomRight" activeCell="D13" sqref="D13"/>
    </sheetView>
  </sheetViews>
  <sheetFormatPr baseColWidth="10" defaultColWidth="10.85546875" defaultRowHeight="15.75" x14ac:dyDescent="0.25"/>
  <cols>
    <col min="1" max="1" width="10.85546875" style="1"/>
    <col min="2" max="2" width="10.140625" style="447" customWidth="1"/>
    <col min="3" max="3" width="44.85546875" style="146" bestFit="1" customWidth="1"/>
    <col min="4" max="4" width="17.5703125" style="19" bestFit="1" customWidth="1"/>
    <col min="5" max="5" width="35.28515625" style="1" bestFit="1" customWidth="1"/>
    <col min="6" max="6" width="14.85546875" style="1" bestFit="1" customWidth="1"/>
    <col min="7" max="7" width="24.42578125" style="1" bestFit="1" customWidth="1"/>
    <col min="8" max="8" width="14.42578125" style="1" bestFit="1" customWidth="1"/>
    <col min="9" max="9" width="14" style="1" bestFit="1" customWidth="1"/>
    <col min="10" max="10" width="7.7109375" style="1" bestFit="1" customWidth="1"/>
    <col min="11" max="11" width="9.7109375" style="1" customWidth="1"/>
    <col min="12" max="12" width="9.7109375" style="1" bestFit="1" customWidth="1"/>
    <col min="13" max="13" width="8" style="1" bestFit="1" customWidth="1"/>
    <col min="14" max="14" width="8" style="1" customWidth="1"/>
    <col min="15" max="15" width="7.140625" style="1" bestFit="1" customWidth="1"/>
    <col min="16" max="16" width="7.42578125" style="1" bestFit="1" customWidth="1"/>
    <col min="17" max="17" width="19.85546875" style="1" customWidth="1"/>
    <col min="18" max="18" width="16" style="1" bestFit="1" customWidth="1"/>
    <col min="19" max="16384" width="10.85546875" style="1"/>
  </cols>
  <sheetData>
    <row r="4" spans="2:18" ht="15" customHeight="1" x14ac:dyDescent="0.25">
      <c r="C4" s="447" t="s">
        <v>629</v>
      </c>
      <c r="D4" s="448"/>
    </row>
    <row r="5" spans="2:18" ht="18.75" customHeight="1" x14ac:dyDescent="0.25">
      <c r="C5" s="447" t="s">
        <v>630</v>
      </c>
      <c r="D5" s="448"/>
    </row>
    <row r="6" spans="2:18" ht="15" customHeight="1" thickBot="1" x14ac:dyDescent="0.3">
      <c r="D6" s="448"/>
    </row>
    <row r="7" spans="2:18" ht="32.25" thickBot="1" x14ac:dyDescent="0.3">
      <c r="B7" s="449" t="s">
        <v>284</v>
      </c>
      <c r="C7" s="450" t="s">
        <v>631</v>
      </c>
      <c r="D7" s="451" t="s">
        <v>632</v>
      </c>
      <c r="E7" s="451" t="s">
        <v>287</v>
      </c>
      <c r="F7" s="451" t="s">
        <v>633</v>
      </c>
      <c r="G7" s="451" t="s">
        <v>634</v>
      </c>
      <c r="H7" s="451" t="s">
        <v>801</v>
      </c>
      <c r="I7" s="451" t="s">
        <v>635</v>
      </c>
      <c r="J7" s="451" t="s">
        <v>552</v>
      </c>
      <c r="K7" s="451" t="s">
        <v>584</v>
      </c>
      <c r="L7" s="451" t="s">
        <v>574</v>
      </c>
      <c r="M7" s="451" t="s">
        <v>575</v>
      </c>
      <c r="N7" s="451" t="s">
        <v>576</v>
      </c>
      <c r="O7" s="451" t="s">
        <v>577</v>
      </c>
      <c r="P7" s="451" t="s">
        <v>578</v>
      </c>
      <c r="Q7" s="451" t="s">
        <v>802</v>
      </c>
      <c r="R7" s="452" t="s">
        <v>636</v>
      </c>
    </row>
    <row r="8" spans="2:18" x14ac:dyDescent="0.25">
      <c r="B8" s="457">
        <v>1</v>
      </c>
      <c r="C8" s="458" t="s">
        <v>348</v>
      </c>
      <c r="D8" s="459">
        <v>0</v>
      </c>
      <c r="E8" s="460" t="s">
        <v>349</v>
      </c>
      <c r="F8" s="461">
        <v>132000</v>
      </c>
      <c r="G8" s="462">
        <f>F8/21.67</f>
        <v>6091.3705583756337</v>
      </c>
      <c r="H8" s="463">
        <v>30</v>
      </c>
      <c r="I8" s="460">
        <f>D8+H8</f>
        <v>30</v>
      </c>
      <c r="J8" s="460"/>
      <c r="K8" s="460"/>
      <c r="L8" s="460"/>
      <c r="M8" s="460"/>
      <c r="N8" s="460"/>
      <c r="O8" s="460">
        <v>5</v>
      </c>
      <c r="P8" s="460"/>
      <c r="Q8" s="460">
        <f>I8-J8-K8-L8-M8-N8-O8-P8</f>
        <v>25</v>
      </c>
      <c r="R8" s="462">
        <f t="shared" ref="R8:R71" si="0">G8*Q8</f>
        <v>152284.26395939084</v>
      </c>
    </row>
    <row r="9" spans="2:18" x14ac:dyDescent="0.25">
      <c r="B9" s="457">
        <v>2</v>
      </c>
      <c r="C9" s="464" t="s">
        <v>350</v>
      </c>
      <c r="D9" s="459">
        <v>25</v>
      </c>
      <c r="E9" s="460" t="s">
        <v>351</v>
      </c>
      <c r="F9" s="461">
        <v>88000</v>
      </c>
      <c r="G9" s="462">
        <f t="shared" ref="G9:G72" si="1">F9/21.67</f>
        <v>4060.9137055837559</v>
      </c>
      <c r="H9" s="463">
        <v>30</v>
      </c>
      <c r="I9" s="460">
        <f t="shared" ref="I9:I72" si="2">D9+H9</f>
        <v>55</v>
      </c>
      <c r="J9" s="460"/>
      <c r="K9" s="460"/>
      <c r="L9" s="460">
        <v>15</v>
      </c>
      <c r="M9" s="460"/>
      <c r="N9" s="460">
        <v>17</v>
      </c>
      <c r="O9" s="460"/>
      <c r="P9" s="460"/>
      <c r="Q9" s="460">
        <f t="shared" ref="Q9:Q72" si="3">I9-J9-K9-L9-M9-N9-O9-P9</f>
        <v>23</v>
      </c>
      <c r="R9" s="462">
        <f t="shared" si="0"/>
        <v>93401.01522842639</v>
      </c>
    </row>
    <row r="10" spans="2:18" x14ac:dyDescent="0.25">
      <c r="B10" s="457">
        <v>3</v>
      </c>
      <c r="C10" s="464" t="s">
        <v>352</v>
      </c>
      <c r="D10" s="459">
        <v>5</v>
      </c>
      <c r="E10" s="460" t="s">
        <v>353</v>
      </c>
      <c r="F10" s="461">
        <v>120000</v>
      </c>
      <c r="G10" s="462">
        <f t="shared" si="1"/>
        <v>5537.6095985233032</v>
      </c>
      <c r="H10" s="463">
        <v>25</v>
      </c>
      <c r="I10" s="460">
        <f t="shared" si="2"/>
        <v>30</v>
      </c>
      <c r="J10" s="460"/>
      <c r="K10" s="460"/>
      <c r="L10" s="460">
        <v>5</v>
      </c>
      <c r="M10" s="460"/>
      <c r="N10" s="460"/>
      <c r="O10" s="460">
        <v>10</v>
      </c>
      <c r="P10" s="460"/>
      <c r="Q10" s="460">
        <f t="shared" si="3"/>
        <v>15</v>
      </c>
      <c r="R10" s="462">
        <f t="shared" si="0"/>
        <v>83064.143977849555</v>
      </c>
    </row>
    <row r="11" spans="2:18" x14ac:dyDescent="0.25">
      <c r="B11" s="457">
        <v>4</v>
      </c>
      <c r="C11" s="465" t="s">
        <v>637</v>
      </c>
      <c r="D11" s="459">
        <v>4</v>
      </c>
      <c r="E11" s="460" t="s">
        <v>354</v>
      </c>
      <c r="F11" s="461">
        <v>66000</v>
      </c>
      <c r="G11" s="462">
        <f t="shared" si="1"/>
        <v>3045.6852791878168</v>
      </c>
      <c r="H11" s="463">
        <v>20</v>
      </c>
      <c r="I11" s="460">
        <f t="shared" si="2"/>
        <v>24</v>
      </c>
      <c r="J11" s="460">
        <v>1</v>
      </c>
      <c r="K11" s="460"/>
      <c r="L11" s="460">
        <v>3</v>
      </c>
      <c r="M11" s="460"/>
      <c r="N11" s="460"/>
      <c r="O11" s="460">
        <v>5</v>
      </c>
      <c r="P11" s="460"/>
      <c r="Q11" s="460">
        <f t="shared" si="3"/>
        <v>15</v>
      </c>
      <c r="R11" s="462">
        <f t="shared" si="0"/>
        <v>45685.27918781725</v>
      </c>
    </row>
    <row r="12" spans="2:18" x14ac:dyDescent="0.25">
      <c r="B12" s="457">
        <v>5</v>
      </c>
      <c r="C12" s="465" t="s">
        <v>638</v>
      </c>
      <c r="D12" s="459">
        <v>15</v>
      </c>
      <c r="E12" s="460" t="s">
        <v>639</v>
      </c>
      <c r="F12" s="461">
        <v>110000</v>
      </c>
      <c r="G12" s="462">
        <f>F12/21.67</f>
        <v>5076.1421319796955</v>
      </c>
      <c r="H12" s="463">
        <v>15</v>
      </c>
      <c r="I12" s="460">
        <f>D12+H12</f>
        <v>30</v>
      </c>
      <c r="J12" s="460"/>
      <c r="K12" s="460"/>
      <c r="L12" s="460"/>
      <c r="M12" s="460">
        <v>10</v>
      </c>
      <c r="N12" s="460"/>
      <c r="O12" s="460"/>
      <c r="P12" s="460"/>
      <c r="Q12" s="460">
        <f t="shared" si="3"/>
        <v>20</v>
      </c>
      <c r="R12" s="462">
        <f t="shared" si="0"/>
        <v>101522.8426395939</v>
      </c>
    </row>
    <row r="13" spans="2:18" x14ac:dyDescent="0.25">
      <c r="B13" s="457">
        <v>6</v>
      </c>
      <c r="C13" s="464" t="s">
        <v>356</v>
      </c>
      <c r="D13" s="459">
        <v>23</v>
      </c>
      <c r="E13" s="460" t="s">
        <v>293</v>
      </c>
      <c r="F13" s="461">
        <v>132000</v>
      </c>
      <c r="G13" s="462">
        <f t="shared" si="1"/>
        <v>6091.3705583756337</v>
      </c>
      <c r="H13" s="463">
        <v>30</v>
      </c>
      <c r="I13" s="460">
        <f t="shared" si="2"/>
        <v>53</v>
      </c>
      <c r="J13" s="460"/>
      <c r="K13" s="460"/>
      <c r="L13" s="460">
        <v>8</v>
      </c>
      <c r="M13" s="460"/>
      <c r="N13" s="460"/>
      <c r="O13" s="460"/>
      <c r="P13" s="460">
        <v>8</v>
      </c>
      <c r="Q13" s="460">
        <f t="shared" si="3"/>
        <v>37</v>
      </c>
      <c r="R13" s="462">
        <f t="shared" si="0"/>
        <v>225380.71065989844</v>
      </c>
    </row>
    <row r="14" spans="2:18" x14ac:dyDescent="0.25">
      <c r="B14" s="457">
        <v>7</v>
      </c>
      <c r="C14" s="464" t="s">
        <v>357</v>
      </c>
      <c r="D14" s="459">
        <v>0</v>
      </c>
      <c r="E14" s="460" t="s">
        <v>355</v>
      </c>
      <c r="F14" s="461">
        <v>24000</v>
      </c>
      <c r="G14" s="462">
        <f t="shared" si="1"/>
        <v>1107.5219197046608</v>
      </c>
      <c r="H14" s="463">
        <v>30</v>
      </c>
      <c r="I14" s="460">
        <f t="shared" si="2"/>
        <v>30</v>
      </c>
      <c r="J14" s="460"/>
      <c r="K14" s="460"/>
      <c r="L14" s="460"/>
      <c r="M14" s="460">
        <v>15</v>
      </c>
      <c r="N14" s="460">
        <v>1</v>
      </c>
      <c r="O14" s="460"/>
      <c r="P14" s="460"/>
      <c r="Q14" s="460">
        <f t="shared" si="3"/>
        <v>14</v>
      </c>
      <c r="R14" s="462">
        <f t="shared" si="0"/>
        <v>15505.306875865252</v>
      </c>
    </row>
    <row r="15" spans="2:18" x14ac:dyDescent="0.25">
      <c r="B15" s="457">
        <v>8</v>
      </c>
      <c r="C15" s="464" t="s">
        <v>358</v>
      </c>
      <c r="D15" s="459">
        <v>15</v>
      </c>
      <c r="E15" s="460" t="s">
        <v>359</v>
      </c>
      <c r="F15" s="461">
        <v>88000</v>
      </c>
      <c r="G15" s="462">
        <f t="shared" si="1"/>
        <v>4060.9137055837559</v>
      </c>
      <c r="H15" s="463">
        <v>20</v>
      </c>
      <c r="I15" s="460">
        <f t="shared" si="2"/>
        <v>35</v>
      </c>
      <c r="J15" s="460"/>
      <c r="K15" s="460"/>
      <c r="L15" s="460"/>
      <c r="M15" s="460"/>
      <c r="N15" s="460"/>
      <c r="O15" s="460"/>
      <c r="P15" s="460"/>
      <c r="Q15" s="460">
        <f t="shared" si="3"/>
        <v>35</v>
      </c>
      <c r="R15" s="462">
        <f t="shared" si="0"/>
        <v>142131.97969543145</v>
      </c>
    </row>
    <row r="16" spans="2:18" x14ac:dyDescent="0.25">
      <c r="B16" s="457">
        <v>9</v>
      </c>
      <c r="C16" s="464" t="s">
        <v>360</v>
      </c>
      <c r="D16" s="459">
        <v>0</v>
      </c>
      <c r="E16" s="460" t="s">
        <v>354</v>
      </c>
      <c r="F16" s="461">
        <v>66000</v>
      </c>
      <c r="G16" s="462">
        <f t="shared" si="1"/>
        <v>3045.6852791878168</v>
      </c>
      <c r="H16" s="463">
        <v>20</v>
      </c>
      <c r="I16" s="460">
        <f t="shared" si="2"/>
        <v>20</v>
      </c>
      <c r="J16" s="460"/>
      <c r="K16" s="460"/>
      <c r="L16" s="460"/>
      <c r="M16" s="460"/>
      <c r="N16" s="460"/>
      <c r="O16" s="460">
        <v>10</v>
      </c>
      <c r="P16" s="460"/>
      <c r="Q16" s="460">
        <f t="shared" si="3"/>
        <v>10</v>
      </c>
      <c r="R16" s="462">
        <f t="shared" si="0"/>
        <v>30456.852791878169</v>
      </c>
    </row>
    <row r="17" spans="2:18" x14ac:dyDescent="0.25">
      <c r="B17" s="457">
        <v>10</v>
      </c>
      <c r="C17" s="465" t="s">
        <v>361</v>
      </c>
      <c r="D17" s="459">
        <v>20</v>
      </c>
      <c r="E17" s="460" t="s">
        <v>293</v>
      </c>
      <c r="F17" s="461">
        <v>132000</v>
      </c>
      <c r="G17" s="462">
        <f t="shared" si="1"/>
        <v>6091.3705583756337</v>
      </c>
      <c r="H17" s="463">
        <v>20</v>
      </c>
      <c r="I17" s="460">
        <f t="shared" si="2"/>
        <v>40</v>
      </c>
      <c r="J17" s="460"/>
      <c r="K17" s="460"/>
      <c r="L17" s="460"/>
      <c r="M17" s="460"/>
      <c r="N17" s="460"/>
      <c r="O17" s="460"/>
      <c r="P17" s="460"/>
      <c r="Q17" s="460">
        <f t="shared" si="3"/>
        <v>40</v>
      </c>
      <c r="R17" s="462">
        <f t="shared" si="0"/>
        <v>243654.82233502535</v>
      </c>
    </row>
    <row r="18" spans="2:18" x14ac:dyDescent="0.25">
      <c r="B18" s="457">
        <v>11</v>
      </c>
      <c r="C18" s="464" t="s">
        <v>362</v>
      </c>
      <c r="D18" s="459">
        <v>2</v>
      </c>
      <c r="E18" s="460" t="s">
        <v>363</v>
      </c>
      <c r="F18" s="461">
        <v>27500</v>
      </c>
      <c r="G18" s="462">
        <f t="shared" si="1"/>
        <v>1269.0355329949239</v>
      </c>
      <c r="H18" s="463">
        <v>15</v>
      </c>
      <c r="I18" s="460">
        <f t="shared" si="2"/>
        <v>17</v>
      </c>
      <c r="J18" s="460"/>
      <c r="K18" s="460"/>
      <c r="L18" s="460"/>
      <c r="M18" s="460"/>
      <c r="N18" s="460"/>
      <c r="O18" s="460"/>
      <c r="P18" s="460"/>
      <c r="Q18" s="460">
        <f t="shared" si="3"/>
        <v>17</v>
      </c>
      <c r="R18" s="462">
        <f t="shared" si="0"/>
        <v>21573.604060913705</v>
      </c>
    </row>
    <row r="19" spans="2:18" x14ac:dyDescent="0.25">
      <c r="B19" s="457">
        <v>12</v>
      </c>
      <c r="C19" s="464" t="s">
        <v>364</v>
      </c>
      <c r="D19" s="459">
        <v>5</v>
      </c>
      <c r="E19" s="460" t="s">
        <v>355</v>
      </c>
      <c r="F19" s="461">
        <v>22000</v>
      </c>
      <c r="G19" s="462">
        <f t="shared" si="1"/>
        <v>1015.228426395939</v>
      </c>
      <c r="H19" s="463">
        <v>15</v>
      </c>
      <c r="I19" s="460">
        <f t="shared" si="2"/>
        <v>20</v>
      </c>
      <c r="J19" s="460"/>
      <c r="K19" s="460"/>
      <c r="L19" s="460"/>
      <c r="M19" s="460">
        <v>20</v>
      </c>
      <c r="N19" s="460"/>
      <c r="O19" s="460"/>
      <c r="P19" s="460"/>
      <c r="Q19" s="460">
        <f t="shared" si="3"/>
        <v>0</v>
      </c>
      <c r="R19" s="462">
        <f t="shared" si="0"/>
        <v>0</v>
      </c>
    </row>
    <row r="20" spans="2:18" x14ac:dyDescent="0.25">
      <c r="B20" s="457">
        <v>13</v>
      </c>
      <c r="C20" s="458" t="s">
        <v>367</v>
      </c>
      <c r="D20" s="459">
        <v>7</v>
      </c>
      <c r="E20" s="460" t="s">
        <v>354</v>
      </c>
      <c r="F20" s="461">
        <v>66000</v>
      </c>
      <c r="G20" s="462">
        <f t="shared" si="1"/>
        <v>3045.6852791878168</v>
      </c>
      <c r="H20" s="463">
        <v>15</v>
      </c>
      <c r="I20" s="460">
        <f t="shared" si="2"/>
        <v>22</v>
      </c>
      <c r="J20" s="460"/>
      <c r="K20" s="460"/>
      <c r="L20" s="460"/>
      <c r="M20" s="460"/>
      <c r="N20" s="460"/>
      <c r="O20" s="460"/>
      <c r="P20" s="460">
        <v>13</v>
      </c>
      <c r="Q20" s="460">
        <f t="shared" si="3"/>
        <v>9</v>
      </c>
      <c r="R20" s="462">
        <f t="shared" si="0"/>
        <v>27411.16751269035</v>
      </c>
    </row>
    <row r="21" spans="2:18" x14ac:dyDescent="0.25">
      <c r="B21" s="457">
        <v>14</v>
      </c>
      <c r="C21" s="465" t="s">
        <v>365</v>
      </c>
      <c r="D21" s="459">
        <v>0</v>
      </c>
      <c r="E21" s="460" t="s">
        <v>366</v>
      </c>
      <c r="F21" s="461">
        <v>95000</v>
      </c>
      <c r="G21" s="462">
        <f t="shared" si="1"/>
        <v>4383.9409321642825</v>
      </c>
      <c r="H21" s="463">
        <v>15</v>
      </c>
      <c r="I21" s="460">
        <f t="shared" si="2"/>
        <v>15</v>
      </c>
      <c r="J21" s="460">
        <v>5</v>
      </c>
      <c r="K21" s="460"/>
      <c r="L21" s="460"/>
      <c r="M21" s="460"/>
      <c r="N21" s="460"/>
      <c r="O21" s="460"/>
      <c r="P21" s="460"/>
      <c r="Q21" s="460">
        <f t="shared" si="3"/>
        <v>10</v>
      </c>
      <c r="R21" s="462">
        <f t="shared" si="0"/>
        <v>43839.409321642823</v>
      </c>
    </row>
    <row r="22" spans="2:18" x14ac:dyDescent="0.25">
      <c r="B22" s="457">
        <v>15</v>
      </c>
      <c r="C22" s="464" t="s">
        <v>368</v>
      </c>
      <c r="D22" s="459">
        <v>25</v>
      </c>
      <c r="E22" s="460" t="s">
        <v>640</v>
      </c>
      <c r="F22" s="461">
        <v>85000</v>
      </c>
      <c r="G22" s="462">
        <f t="shared" si="1"/>
        <v>3922.4734656206733</v>
      </c>
      <c r="H22" s="463">
        <v>30</v>
      </c>
      <c r="I22" s="460">
        <f t="shared" si="2"/>
        <v>55</v>
      </c>
      <c r="J22" s="460"/>
      <c r="K22" s="460"/>
      <c r="L22" s="460"/>
      <c r="M22" s="460"/>
      <c r="N22" s="460">
        <v>30</v>
      </c>
      <c r="O22" s="460"/>
      <c r="P22" s="460"/>
      <c r="Q22" s="460">
        <f t="shared" si="3"/>
        <v>25</v>
      </c>
      <c r="R22" s="462">
        <f t="shared" si="0"/>
        <v>98061.836640516834</v>
      </c>
    </row>
    <row r="23" spans="2:18" x14ac:dyDescent="0.25">
      <c r="B23" s="457">
        <v>16</v>
      </c>
      <c r="C23" s="464" t="s">
        <v>369</v>
      </c>
      <c r="D23" s="459">
        <v>0</v>
      </c>
      <c r="E23" s="460" t="s">
        <v>363</v>
      </c>
      <c r="F23" s="461">
        <v>27500</v>
      </c>
      <c r="G23" s="462">
        <f t="shared" si="1"/>
        <v>1269.0355329949239</v>
      </c>
      <c r="H23" s="463">
        <v>15</v>
      </c>
      <c r="I23" s="460">
        <f>D23+H23</f>
        <v>15</v>
      </c>
      <c r="J23" s="460"/>
      <c r="K23" s="460">
        <v>15</v>
      </c>
      <c r="L23" s="460"/>
      <c r="M23" s="460"/>
      <c r="N23" s="460"/>
      <c r="O23" s="460"/>
      <c r="P23" s="460"/>
      <c r="Q23" s="460">
        <f t="shared" si="3"/>
        <v>0</v>
      </c>
      <c r="R23" s="462">
        <f t="shared" si="0"/>
        <v>0</v>
      </c>
    </row>
    <row r="24" spans="2:18" x14ac:dyDescent="0.25">
      <c r="B24" s="457">
        <v>17</v>
      </c>
      <c r="C24" s="464" t="s">
        <v>370</v>
      </c>
      <c r="D24" s="459">
        <v>10</v>
      </c>
      <c r="E24" s="460" t="s">
        <v>294</v>
      </c>
      <c r="F24" s="461">
        <v>95000</v>
      </c>
      <c r="G24" s="462">
        <f t="shared" si="1"/>
        <v>4383.9409321642825</v>
      </c>
      <c r="H24" s="463">
        <v>15</v>
      </c>
      <c r="I24" s="460">
        <f t="shared" si="2"/>
        <v>25</v>
      </c>
      <c r="J24" s="460"/>
      <c r="K24" s="460"/>
      <c r="L24" s="460"/>
      <c r="M24" s="460"/>
      <c r="N24" s="460"/>
      <c r="O24" s="460">
        <v>8</v>
      </c>
      <c r="P24" s="460"/>
      <c r="Q24" s="460">
        <f t="shared" si="3"/>
        <v>17</v>
      </c>
      <c r="R24" s="462">
        <f t="shared" si="0"/>
        <v>74526.995846792808</v>
      </c>
    </row>
    <row r="25" spans="2:18" x14ac:dyDescent="0.25">
      <c r="B25" s="457">
        <v>18</v>
      </c>
      <c r="C25" s="464" t="s">
        <v>371</v>
      </c>
      <c r="D25" s="459">
        <v>0</v>
      </c>
      <c r="E25" s="460" t="s">
        <v>372</v>
      </c>
      <c r="F25" s="461">
        <v>99000</v>
      </c>
      <c r="G25" s="462">
        <f t="shared" si="1"/>
        <v>4568.5279187817259</v>
      </c>
      <c r="H25" s="463">
        <v>30</v>
      </c>
      <c r="I25" s="460">
        <f>D25+H25</f>
        <v>30</v>
      </c>
      <c r="J25" s="460"/>
      <c r="K25" s="460"/>
      <c r="L25" s="460"/>
      <c r="M25" s="460"/>
      <c r="N25" s="460"/>
      <c r="O25" s="460"/>
      <c r="P25" s="460">
        <v>30</v>
      </c>
      <c r="Q25" s="460">
        <f t="shared" si="3"/>
        <v>0</v>
      </c>
      <c r="R25" s="462">
        <f t="shared" si="0"/>
        <v>0</v>
      </c>
    </row>
    <row r="26" spans="2:18" x14ac:dyDescent="0.25">
      <c r="B26" s="457">
        <v>19</v>
      </c>
      <c r="C26" s="464" t="s">
        <v>373</v>
      </c>
      <c r="D26" s="459">
        <v>5</v>
      </c>
      <c r="E26" s="460" t="s">
        <v>374</v>
      </c>
      <c r="F26" s="461">
        <v>33000</v>
      </c>
      <c r="G26" s="462">
        <f t="shared" si="1"/>
        <v>1522.8426395939084</v>
      </c>
      <c r="H26" s="463">
        <v>15</v>
      </c>
      <c r="I26" s="460">
        <f t="shared" si="2"/>
        <v>20</v>
      </c>
      <c r="J26" s="460"/>
      <c r="K26" s="460"/>
      <c r="L26" s="460"/>
      <c r="M26" s="460"/>
      <c r="N26" s="460"/>
      <c r="O26" s="460"/>
      <c r="P26" s="460"/>
      <c r="Q26" s="460">
        <f t="shared" si="3"/>
        <v>20</v>
      </c>
      <c r="R26" s="462">
        <f t="shared" si="0"/>
        <v>30456.852791878169</v>
      </c>
    </row>
    <row r="27" spans="2:18" x14ac:dyDescent="0.25">
      <c r="B27" s="457">
        <v>20</v>
      </c>
      <c r="C27" s="464" t="s">
        <v>375</v>
      </c>
      <c r="D27" s="459">
        <v>15</v>
      </c>
      <c r="E27" s="460" t="s">
        <v>376</v>
      </c>
      <c r="F27" s="461">
        <v>49500</v>
      </c>
      <c r="G27" s="462">
        <f t="shared" si="1"/>
        <v>2284.263959390863</v>
      </c>
      <c r="H27" s="463">
        <v>20</v>
      </c>
      <c r="I27" s="460">
        <f t="shared" si="2"/>
        <v>35</v>
      </c>
      <c r="J27" s="460"/>
      <c r="K27" s="460"/>
      <c r="L27" s="460"/>
      <c r="M27" s="460"/>
      <c r="N27" s="460"/>
      <c r="O27" s="460">
        <v>15</v>
      </c>
      <c r="P27" s="460"/>
      <c r="Q27" s="460">
        <f t="shared" si="3"/>
        <v>20</v>
      </c>
      <c r="R27" s="462">
        <f t="shared" si="0"/>
        <v>45685.279187817257</v>
      </c>
    </row>
    <row r="28" spans="2:18" x14ac:dyDescent="0.25">
      <c r="B28" s="457">
        <v>21</v>
      </c>
      <c r="C28" s="465" t="s">
        <v>377</v>
      </c>
      <c r="D28" s="459">
        <v>5</v>
      </c>
      <c r="E28" s="460" t="s">
        <v>363</v>
      </c>
      <c r="F28" s="461">
        <v>31500</v>
      </c>
      <c r="G28" s="462">
        <f t="shared" si="1"/>
        <v>1453.6225196123671</v>
      </c>
      <c r="H28" s="463">
        <v>30</v>
      </c>
      <c r="I28" s="460">
        <f t="shared" si="2"/>
        <v>35</v>
      </c>
      <c r="J28" s="460">
        <v>5</v>
      </c>
      <c r="K28" s="460"/>
      <c r="L28" s="460"/>
      <c r="M28" s="460"/>
      <c r="N28" s="460">
        <v>30</v>
      </c>
      <c r="O28" s="460"/>
      <c r="P28" s="460"/>
      <c r="Q28" s="460">
        <f t="shared" si="3"/>
        <v>0</v>
      </c>
      <c r="R28" s="462">
        <f t="shared" si="0"/>
        <v>0</v>
      </c>
    </row>
    <row r="29" spans="2:18" x14ac:dyDescent="0.25">
      <c r="B29" s="457">
        <v>22</v>
      </c>
      <c r="C29" s="464" t="s">
        <v>378</v>
      </c>
      <c r="D29" s="459">
        <v>24</v>
      </c>
      <c r="E29" s="460" t="s">
        <v>379</v>
      </c>
      <c r="F29" s="461">
        <v>120000</v>
      </c>
      <c r="G29" s="462">
        <f t="shared" si="1"/>
        <v>5537.6095985233032</v>
      </c>
      <c r="H29" s="463">
        <v>30</v>
      </c>
      <c r="I29" s="460">
        <f t="shared" si="2"/>
        <v>54</v>
      </c>
      <c r="J29" s="460"/>
      <c r="K29" s="460"/>
      <c r="L29" s="460"/>
      <c r="M29" s="460"/>
      <c r="N29" s="460">
        <v>2</v>
      </c>
      <c r="O29" s="460">
        <v>1</v>
      </c>
      <c r="P29" s="460"/>
      <c r="Q29" s="460">
        <f t="shared" si="3"/>
        <v>51</v>
      </c>
      <c r="R29" s="462">
        <f t="shared" si="0"/>
        <v>282418.08952468849</v>
      </c>
    </row>
    <row r="30" spans="2:18" x14ac:dyDescent="0.25">
      <c r="B30" s="457">
        <v>23</v>
      </c>
      <c r="C30" s="464" t="s">
        <v>381</v>
      </c>
      <c r="D30" s="459">
        <v>15</v>
      </c>
      <c r="E30" s="460" t="s">
        <v>374</v>
      </c>
      <c r="F30" s="461">
        <v>33000</v>
      </c>
      <c r="G30" s="462">
        <f t="shared" si="1"/>
        <v>1522.8426395939084</v>
      </c>
      <c r="H30" s="463">
        <v>20</v>
      </c>
      <c r="I30" s="460">
        <f t="shared" si="2"/>
        <v>35</v>
      </c>
      <c r="J30" s="460">
        <v>20</v>
      </c>
      <c r="K30" s="460"/>
      <c r="L30" s="460"/>
      <c r="M30" s="460"/>
      <c r="N30" s="460"/>
      <c r="O30" s="460"/>
      <c r="P30" s="460"/>
      <c r="Q30" s="460">
        <f t="shared" si="3"/>
        <v>15</v>
      </c>
      <c r="R30" s="462">
        <f t="shared" si="0"/>
        <v>22842.639593908625</v>
      </c>
    </row>
    <row r="31" spans="2:18" x14ac:dyDescent="0.25">
      <c r="B31" s="457">
        <v>24</v>
      </c>
      <c r="C31" s="464" t="s">
        <v>490</v>
      </c>
      <c r="D31" s="459">
        <v>20</v>
      </c>
      <c r="E31" s="460" t="s">
        <v>359</v>
      </c>
      <c r="F31" s="461">
        <v>110000</v>
      </c>
      <c r="G31" s="462">
        <f t="shared" si="1"/>
        <v>5076.1421319796955</v>
      </c>
      <c r="H31" s="463">
        <v>25</v>
      </c>
      <c r="I31" s="460">
        <f t="shared" si="2"/>
        <v>45</v>
      </c>
      <c r="J31" s="460"/>
      <c r="K31" s="460"/>
      <c r="L31" s="460"/>
      <c r="M31" s="460"/>
      <c r="N31" s="460"/>
      <c r="O31" s="460"/>
      <c r="P31" s="460"/>
      <c r="Q31" s="460">
        <f t="shared" si="3"/>
        <v>45</v>
      </c>
      <c r="R31" s="462">
        <f t="shared" si="0"/>
        <v>228426.3959390863</v>
      </c>
    </row>
    <row r="32" spans="2:18" x14ac:dyDescent="0.25">
      <c r="B32" s="457">
        <v>25</v>
      </c>
      <c r="C32" s="464" t="s">
        <v>382</v>
      </c>
      <c r="D32" s="459">
        <v>15</v>
      </c>
      <c r="E32" s="460" t="s">
        <v>383</v>
      </c>
      <c r="F32" s="461">
        <v>100000</v>
      </c>
      <c r="G32" s="462">
        <f t="shared" si="1"/>
        <v>4614.6746654360868</v>
      </c>
      <c r="H32" s="463">
        <v>25</v>
      </c>
      <c r="I32" s="460">
        <f t="shared" si="2"/>
        <v>40</v>
      </c>
      <c r="J32" s="460">
        <v>10</v>
      </c>
      <c r="K32" s="460"/>
      <c r="L32" s="460">
        <v>15</v>
      </c>
      <c r="M32" s="460"/>
      <c r="N32" s="460"/>
      <c r="O32" s="460"/>
      <c r="P32" s="460"/>
      <c r="Q32" s="460">
        <f t="shared" si="3"/>
        <v>15</v>
      </c>
      <c r="R32" s="462">
        <f t="shared" si="0"/>
        <v>69220.119981541298</v>
      </c>
    </row>
    <row r="33" spans="2:18" x14ac:dyDescent="0.25">
      <c r="B33" s="457">
        <v>26</v>
      </c>
      <c r="C33" s="464" t="s">
        <v>384</v>
      </c>
      <c r="D33" s="459">
        <v>4</v>
      </c>
      <c r="E33" s="460" t="s">
        <v>355</v>
      </c>
      <c r="F33" s="461">
        <v>24000</v>
      </c>
      <c r="G33" s="462">
        <f t="shared" si="1"/>
        <v>1107.5219197046608</v>
      </c>
      <c r="H33" s="463">
        <v>25</v>
      </c>
      <c r="I33" s="460">
        <f t="shared" si="2"/>
        <v>29</v>
      </c>
      <c r="J33" s="460">
        <v>1</v>
      </c>
      <c r="K33" s="460"/>
      <c r="L33" s="460"/>
      <c r="M33" s="460"/>
      <c r="N33" s="460">
        <v>3</v>
      </c>
      <c r="O33" s="460"/>
      <c r="P33" s="460"/>
      <c r="Q33" s="460">
        <f t="shared" si="3"/>
        <v>25</v>
      </c>
      <c r="R33" s="462">
        <f t="shared" si="0"/>
        <v>27688.047992616521</v>
      </c>
    </row>
    <row r="34" spans="2:18" x14ac:dyDescent="0.25">
      <c r="B34" s="457">
        <v>27</v>
      </c>
      <c r="C34" s="464" t="s">
        <v>385</v>
      </c>
      <c r="D34" s="459">
        <v>22</v>
      </c>
      <c r="E34" s="460" t="s">
        <v>349</v>
      </c>
      <c r="F34" s="461">
        <v>132000</v>
      </c>
      <c r="G34" s="462">
        <f t="shared" si="1"/>
        <v>6091.3705583756337</v>
      </c>
      <c r="H34" s="463">
        <v>30</v>
      </c>
      <c r="I34" s="460">
        <f t="shared" si="2"/>
        <v>52</v>
      </c>
      <c r="J34" s="460"/>
      <c r="K34" s="460"/>
      <c r="L34" s="460"/>
      <c r="M34" s="460">
        <v>12</v>
      </c>
      <c r="N34" s="460"/>
      <c r="O34" s="460">
        <v>11</v>
      </c>
      <c r="P34" s="460"/>
      <c r="Q34" s="460">
        <f t="shared" si="3"/>
        <v>29</v>
      </c>
      <c r="R34" s="462">
        <f t="shared" si="0"/>
        <v>176649.74619289336</v>
      </c>
    </row>
    <row r="35" spans="2:18" x14ac:dyDescent="0.25">
      <c r="B35" s="457">
        <v>28</v>
      </c>
      <c r="C35" s="464" t="s">
        <v>386</v>
      </c>
      <c r="D35" s="459">
        <v>0</v>
      </c>
      <c r="E35" s="460" t="s">
        <v>293</v>
      </c>
      <c r="F35" s="461">
        <v>132000</v>
      </c>
      <c r="G35" s="462">
        <f t="shared" si="1"/>
        <v>6091.3705583756337</v>
      </c>
      <c r="H35" s="463">
        <v>20</v>
      </c>
      <c r="I35" s="460">
        <f t="shared" si="2"/>
        <v>20</v>
      </c>
      <c r="J35" s="460"/>
      <c r="K35" s="460">
        <v>6</v>
      </c>
      <c r="L35" s="460"/>
      <c r="M35" s="460"/>
      <c r="N35" s="460"/>
      <c r="O35" s="460"/>
      <c r="P35" s="460"/>
      <c r="Q35" s="460">
        <f t="shared" si="3"/>
        <v>14</v>
      </c>
      <c r="R35" s="462">
        <f t="shared" si="0"/>
        <v>85279.187817258877</v>
      </c>
    </row>
    <row r="36" spans="2:18" x14ac:dyDescent="0.25">
      <c r="B36" s="457">
        <v>29</v>
      </c>
      <c r="C36" s="465" t="s">
        <v>641</v>
      </c>
      <c r="D36" s="459">
        <v>0</v>
      </c>
      <c r="E36" s="460" t="s">
        <v>363</v>
      </c>
      <c r="F36" s="461">
        <v>27500</v>
      </c>
      <c r="G36" s="462">
        <f t="shared" si="1"/>
        <v>1269.0355329949239</v>
      </c>
      <c r="H36" s="463">
        <v>20</v>
      </c>
      <c r="I36" s="460">
        <f t="shared" si="2"/>
        <v>20</v>
      </c>
      <c r="J36" s="460"/>
      <c r="K36" s="460">
        <v>6</v>
      </c>
      <c r="L36" s="460"/>
      <c r="M36" s="460"/>
      <c r="N36" s="460"/>
      <c r="O36" s="460">
        <v>10</v>
      </c>
      <c r="P36" s="460"/>
      <c r="Q36" s="460">
        <f t="shared" si="3"/>
        <v>4</v>
      </c>
      <c r="R36" s="462">
        <f t="shared" si="0"/>
        <v>5076.1421319796955</v>
      </c>
    </row>
    <row r="37" spans="2:18" x14ac:dyDescent="0.25">
      <c r="B37" s="457">
        <v>30</v>
      </c>
      <c r="C37" s="464" t="s">
        <v>387</v>
      </c>
      <c r="D37" s="459">
        <v>0</v>
      </c>
      <c r="E37" s="460" t="s">
        <v>388</v>
      </c>
      <c r="F37" s="461">
        <v>49500</v>
      </c>
      <c r="G37" s="462">
        <f t="shared" si="1"/>
        <v>2284.263959390863</v>
      </c>
      <c r="H37" s="463">
        <v>30</v>
      </c>
      <c r="I37" s="460">
        <f t="shared" si="2"/>
        <v>30</v>
      </c>
      <c r="J37" s="460"/>
      <c r="K37" s="460">
        <v>10</v>
      </c>
      <c r="L37" s="460"/>
      <c r="M37" s="460"/>
      <c r="N37" s="460"/>
      <c r="O37" s="460"/>
      <c r="P37" s="460"/>
      <c r="Q37" s="460">
        <f t="shared" si="3"/>
        <v>20</v>
      </c>
      <c r="R37" s="462">
        <f t="shared" si="0"/>
        <v>45685.279187817257</v>
      </c>
    </row>
    <row r="38" spans="2:18" x14ac:dyDescent="0.25">
      <c r="B38" s="457">
        <v>31</v>
      </c>
      <c r="C38" s="464" t="s">
        <v>389</v>
      </c>
      <c r="D38" s="459">
        <v>3</v>
      </c>
      <c r="E38" s="460" t="s">
        <v>294</v>
      </c>
      <c r="F38" s="461">
        <v>95000</v>
      </c>
      <c r="G38" s="462">
        <f t="shared" si="1"/>
        <v>4383.9409321642825</v>
      </c>
      <c r="H38" s="463">
        <v>15</v>
      </c>
      <c r="I38" s="460">
        <f t="shared" si="2"/>
        <v>18</v>
      </c>
      <c r="J38" s="460"/>
      <c r="K38" s="460"/>
      <c r="L38" s="460"/>
      <c r="M38" s="460"/>
      <c r="N38" s="460">
        <v>5</v>
      </c>
      <c r="O38" s="460"/>
      <c r="P38" s="460">
        <v>6</v>
      </c>
      <c r="Q38" s="460">
        <f t="shared" si="3"/>
        <v>7</v>
      </c>
      <c r="R38" s="462">
        <f t="shared" si="0"/>
        <v>30687.586525149978</v>
      </c>
    </row>
    <row r="39" spans="2:18" x14ac:dyDescent="0.25">
      <c r="B39" s="457">
        <v>32</v>
      </c>
      <c r="C39" s="458" t="s">
        <v>642</v>
      </c>
      <c r="D39" s="459">
        <v>0</v>
      </c>
      <c r="E39" s="460" t="s">
        <v>407</v>
      </c>
      <c r="F39" s="461">
        <v>22000</v>
      </c>
      <c r="G39" s="462">
        <f t="shared" si="1"/>
        <v>1015.228426395939</v>
      </c>
      <c r="H39" s="463">
        <v>15</v>
      </c>
      <c r="I39" s="460">
        <f t="shared" si="2"/>
        <v>15</v>
      </c>
      <c r="J39" s="460"/>
      <c r="K39" s="460"/>
      <c r="L39" s="460"/>
      <c r="M39" s="460"/>
      <c r="N39" s="460"/>
      <c r="O39" s="460"/>
      <c r="P39" s="460"/>
      <c r="Q39" s="460">
        <f t="shared" si="3"/>
        <v>15</v>
      </c>
      <c r="R39" s="462">
        <f t="shared" si="0"/>
        <v>15228.426395939085</v>
      </c>
    </row>
    <row r="40" spans="2:18" x14ac:dyDescent="0.25">
      <c r="B40" s="457">
        <v>33</v>
      </c>
      <c r="C40" s="464" t="s">
        <v>390</v>
      </c>
      <c r="D40" s="459">
        <v>0</v>
      </c>
      <c r="E40" s="460" t="s">
        <v>391</v>
      </c>
      <c r="F40" s="461">
        <v>23000</v>
      </c>
      <c r="G40" s="462">
        <f t="shared" si="1"/>
        <v>1061.3751730503</v>
      </c>
      <c r="H40" s="463">
        <v>15</v>
      </c>
      <c r="I40" s="460">
        <f t="shared" si="2"/>
        <v>15</v>
      </c>
      <c r="J40" s="460"/>
      <c r="K40" s="460">
        <v>6</v>
      </c>
      <c r="L40" s="460"/>
      <c r="M40" s="460"/>
      <c r="N40" s="460">
        <v>1</v>
      </c>
      <c r="O40" s="460"/>
      <c r="P40" s="460">
        <v>1</v>
      </c>
      <c r="Q40" s="460">
        <f t="shared" si="3"/>
        <v>7</v>
      </c>
      <c r="R40" s="462">
        <f t="shared" si="0"/>
        <v>7429.6262113520997</v>
      </c>
    </row>
    <row r="41" spans="2:18" x14ac:dyDescent="0.25">
      <c r="B41" s="457">
        <v>34</v>
      </c>
      <c r="C41" s="464" t="s">
        <v>392</v>
      </c>
      <c r="D41" s="459">
        <v>0</v>
      </c>
      <c r="E41" s="460" t="s">
        <v>393</v>
      </c>
      <c r="F41" s="461">
        <v>66000</v>
      </c>
      <c r="G41" s="462">
        <f t="shared" si="1"/>
        <v>3045.6852791878168</v>
      </c>
      <c r="H41" s="463">
        <v>15</v>
      </c>
      <c r="I41" s="460">
        <f t="shared" si="2"/>
        <v>15</v>
      </c>
      <c r="J41" s="460"/>
      <c r="K41" s="460"/>
      <c r="L41" s="460"/>
      <c r="M41" s="460"/>
      <c r="N41" s="460"/>
      <c r="O41" s="460">
        <v>1</v>
      </c>
      <c r="P41" s="460">
        <v>1</v>
      </c>
      <c r="Q41" s="460">
        <f t="shared" si="3"/>
        <v>13</v>
      </c>
      <c r="R41" s="462">
        <f t="shared" si="0"/>
        <v>39593.908629441619</v>
      </c>
    </row>
    <row r="42" spans="2:18" x14ac:dyDescent="0.25">
      <c r="B42" s="457">
        <v>35</v>
      </c>
      <c r="C42" s="465" t="s">
        <v>643</v>
      </c>
      <c r="D42" s="459">
        <v>10</v>
      </c>
      <c r="E42" s="466" t="s">
        <v>355</v>
      </c>
      <c r="F42" s="461">
        <v>23650</v>
      </c>
      <c r="G42" s="462">
        <f t="shared" si="1"/>
        <v>1091.3705583756343</v>
      </c>
      <c r="H42" s="463">
        <v>30</v>
      </c>
      <c r="I42" s="460">
        <f t="shared" si="2"/>
        <v>40</v>
      </c>
      <c r="J42" s="460">
        <v>9</v>
      </c>
      <c r="K42" s="460"/>
      <c r="L42" s="460"/>
      <c r="M42" s="460">
        <v>11</v>
      </c>
      <c r="N42" s="460"/>
      <c r="O42" s="460"/>
      <c r="P42" s="460"/>
      <c r="Q42" s="460">
        <f t="shared" si="3"/>
        <v>20</v>
      </c>
      <c r="R42" s="462">
        <f t="shared" si="0"/>
        <v>21827.411167512688</v>
      </c>
    </row>
    <row r="43" spans="2:18" x14ac:dyDescent="0.25">
      <c r="B43" s="457">
        <v>36</v>
      </c>
      <c r="C43" s="458" t="s">
        <v>644</v>
      </c>
      <c r="D43" s="459">
        <v>0</v>
      </c>
      <c r="E43" s="466" t="s">
        <v>363</v>
      </c>
      <c r="F43" s="461">
        <v>27500</v>
      </c>
      <c r="G43" s="462">
        <f t="shared" si="1"/>
        <v>1269.0355329949239</v>
      </c>
      <c r="H43" s="463">
        <v>15</v>
      </c>
      <c r="I43" s="460">
        <f t="shared" si="2"/>
        <v>15</v>
      </c>
      <c r="J43" s="460"/>
      <c r="K43" s="460"/>
      <c r="L43" s="460"/>
      <c r="M43" s="460"/>
      <c r="N43" s="460"/>
      <c r="O43" s="460"/>
      <c r="P43" s="460"/>
      <c r="Q43" s="460">
        <f t="shared" si="3"/>
        <v>15</v>
      </c>
      <c r="R43" s="462">
        <f t="shared" si="0"/>
        <v>19035.532994923858</v>
      </c>
    </row>
    <row r="44" spans="2:18" x14ac:dyDescent="0.25">
      <c r="B44" s="457">
        <v>37</v>
      </c>
      <c r="C44" s="465" t="s">
        <v>394</v>
      </c>
      <c r="D44" s="459">
        <v>11</v>
      </c>
      <c r="E44" s="460" t="s">
        <v>291</v>
      </c>
      <c r="F44" s="461">
        <v>605000</v>
      </c>
      <c r="G44" s="462">
        <f t="shared" si="1"/>
        <v>27918.781725888322</v>
      </c>
      <c r="H44" s="463">
        <v>20</v>
      </c>
      <c r="I44" s="460">
        <f t="shared" si="2"/>
        <v>31</v>
      </c>
      <c r="J44" s="460"/>
      <c r="K44" s="460"/>
      <c r="L44" s="460"/>
      <c r="M44" s="460"/>
      <c r="N44" s="460"/>
      <c r="O44" s="460"/>
      <c r="P44" s="460"/>
      <c r="Q44" s="460">
        <f t="shared" si="3"/>
        <v>31</v>
      </c>
      <c r="R44" s="462">
        <f t="shared" si="0"/>
        <v>865482.23350253794</v>
      </c>
    </row>
    <row r="45" spans="2:18" x14ac:dyDescent="0.25">
      <c r="B45" s="457">
        <v>38</v>
      </c>
      <c r="C45" s="464" t="s">
        <v>395</v>
      </c>
      <c r="D45" s="459">
        <v>0</v>
      </c>
      <c r="E45" s="460" t="s">
        <v>396</v>
      </c>
      <c r="F45" s="461">
        <v>34000</v>
      </c>
      <c r="G45" s="462">
        <f t="shared" si="1"/>
        <v>1568.9893862482693</v>
      </c>
      <c r="H45" s="463">
        <v>20</v>
      </c>
      <c r="I45" s="460">
        <f t="shared" si="2"/>
        <v>20</v>
      </c>
      <c r="J45" s="460"/>
      <c r="K45" s="460"/>
      <c r="L45" s="460"/>
      <c r="M45" s="460">
        <v>11</v>
      </c>
      <c r="N45" s="460"/>
      <c r="O45" s="460"/>
      <c r="P45" s="460"/>
      <c r="Q45" s="460">
        <f t="shared" si="3"/>
        <v>9</v>
      </c>
      <c r="R45" s="462">
        <f t="shared" si="0"/>
        <v>14120.904476234424</v>
      </c>
    </row>
    <row r="46" spans="2:18" x14ac:dyDescent="0.25">
      <c r="B46" s="457">
        <v>39</v>
      </c>
      <c r="C46" s="464" t="s">
        <v>397</v>
      </c>
      <c r="D46" s="459">
        <v>0</v>
      </c>
      <c r="E46" s="460" t="s">
        <v>398</v>
      </c>
      <c r="F46" s="461">
        <v>360000</v>
      </c>
      <c r="G46" s="462">
        <f t="shared" si="1"/>
        <v>16612.828795569912</v>
      </c>
      <c r="H46" s="463">
        <v>20</v>
      </c>
      <c r="I46" s="460">
        <f t="shared" si="2"/>
        <v>20</v>
      </c>
      <c r="J46" s="460"/>
      <c r="K46" s="460"/>
      <c r="L46" s="460"/>
      <c r="M46" s="460"/>
      <c r="N46" s="460"/>
      <c r="O46" s="460"/>
      <c r="P46" s="460"/>
      <c r="Q46" s="460">
        <f t="shared" si="3"/>
        <v>20</v>
      </c>
      <c r="R46" s="462">
        <f t="shared" si="0"/>
        <v>332256.57591139828</v>
      </c>
    </row>
    <row r="47" spans="2:18" x14ac:dyDescent="0.25">
      <c r="B47" s="457">
        <v>40</v>
      </c>
      <c r="C47" s="464" t="s">
        <v>399</v>
      </c>
      <c r="D47" s="459">
        <v>0</v>
      </c>
      <c r="E47" s="460" t="s">
        <v>363</v>
      </c>
      <c r="F47" s="461">
        <v>27500</v>
      </c>
      <c r="G47" s="462">
        <f t="shared" si="1"/>
        <v>1269.0355329949239</v>
      </c>
      <c r="H47" s="463">
        <v>15</v>
      </c>
      <c r="I47" s="460">
        <f t="shared" si="2"/>
        <v>15</v>
      </c>
      <c r="J47" s="460"/>
      <c r="K47" s="460"/>
      <c r="L47" s="460"/>
      <c r="M47" s="460"/>
      <c r="N47" s="460"/>
      <c r="O47" s="460"/>
      <c r="P47" s="460"/>
      <c r="Q47" s="460">
        <f t="shared" si="3"/>
        <v>15</v>
      </c>
      <c r="R47" s="462">
        <f t="shared" si="0"/>
        <v>19035.532994923858</v>
      </c>
    </row>
    <row r="48" spans="2:18" x14ac:dyDescent="0.25">
      <c r="B48" s="457">
        <v>41</v>
      </c>
      <c r="C48" s="464" t="s">
        <v>400</v>
      </c>
      <c r="D48" s="459">
        <v>7</v>
      </c>
      <c r="E48" s="460" t="s">
        <v>401</v>
      </c>
      <c r="F48" s="461">
        <v>88000</v>
      </c>
      <c r="G48" s="462">
        <f t="shared" si="1"/>
        <v>4060.9137055837559</v>
      </c>
      <c r="H48" s="463">
        <v>30</v>
      </c>
      <c r="I48" s="460">
        <f t="shared" si="2"/>
        <v>37</v>
      </c>
      <c r="J48" s="460">
        <v>6</v>
      </c>
      <c r="K48" s="460"/>
      <c r="L48" s="460">
        <v>1</v>
      </c>
      <c r="M48" s="460">
        <v>6</v>
      </c>
      <c r="N48" s="460">
        <v>10</v>
      </c>
      <c r="O48" s="460">
        <v>1</v>
      </c>
      <c r="P48" s="460"/>
      <c r="Q48" s="460">
        <f t="shared" si="3"/>
        <v>13</v>
      </c>
      <c r="R48" s="462">
        <f t="shared" si="0"/>
        <v>52791.878172588826</v>
      </c>
    </row>
    <row r="49" spans="2:18" x14ac:dyDescent="0.25">
      <c r="B49" s="457">
        <v>42</v>
      </c>
      <c r="C49" s="458" t="s">
        <v>699</v>
      </c>
      <c r="D49" s="459">
        <v>0</v>
      </c>
      <c r="E49" s="460" t="s">
        <v>388</v>
      </c>
      <c r="F49" s="461">
        <v>49500</v>
      </c>
      <c r="G49" s="462">
        <f t="shared" si="1"/>
        <v>2284.263959390863</v>
      </c>
      <c r="H49" s="463">
        <v>30</v>
      </c>
      <c r="I49" s="460">
        <f t="shared" si="2"/>
        <v>30</v>
      </c>
      <c r="J49" s="460"/>
      <c r="K49" s="460"/>
      <c r="L49" s="460">
        <v>15</v>
      </c>
      <c r="M49" s="460"/>
      <c r="N49" s="460"/>
      <c r="O49" s="460"/>
      <c r="P49" s="460"/>
      <c r="Q49" s="460">
        <f t="shared" si="3"/>
        <v>15</v>
      </c>
      <c r="R49" s="462">
        <f t="shared" si="0"/>
        <v>34263.959390862947</v>
      </c>
    </row>
    <row r="50" spans="2:18" x14ac:dyDescent="0.25">
      <c r="B50" s="457">
        <v>43</v>
      </c>
      <c r="C50" s="465" t="s">
        <v>700</v>
      </c>
      <c r="D50" s="459">
        <v>0</v>
      </c>
      <c r="E50" s="460" t="s">
        <v>701</v>
      </c>
      <c r="F50" s="461">
        <v>88000</v>
      </c>
      <c r="G50" s="462">
        <f t="shared" si="1"/>
        <v>4060.9137055837559</v>
      </c>
      <c r="H50" s="463">
        <v>30</v>
      </c>
      <c r="I50" s="460">
        <f t="shared" si="2"/>
        <v>30</v>
      </c>
      <c r="J50" s="460"/>
      <c r="K50" s="460"/>
      <c r="L50" s="460"/>
      <c r="M50" s="460"/>
      <c r="N50" s="460"/>
      <c r="O50" s="460"/>
      <c r="P50" s="460"/>
      <c r="Q50" s="460">
        <f t="shared" si="3"/>
        <v>30</v>
      </c>
      <c r="R50" s="462">
        <f t="shared" si="0"/>
        <v>121827.41116751268</v>
      </c>
    </row>
    <row r="51" spans="2:18" x14ac:dyDescent="0.25">
      <c r="B51" s="457">
        <v>44</v>
      </c>
      <c r="C51" s="465" t="s">
        <v>402</v>
      </c>
      <c r="D51" s="459">
        <v>15</v>
      </c>
      <c r="E51" s="460" t="s">
        <v>645</v>
      </c>
      <c r="F51" s="461">
        <v>49500</v>
      </c>
      <c r="G51" s="462">
        <f t="shared" si="1"/>
        <v>2284.263959390863</v>
      </c>
      <c r="H51" s="463">
        <v>25</v>
      </c>
      <c r="I51" s="460">
        <f t="shared" si="2"/>
        <v>40</v>
      </c>
      <c r="J51" s="460"/>
      <c r="K51" s="460"/>
      <c r="L51" s="460"/>
      <c r="M51" s="460">
        <v>10</v>
      </c>
      <c r="N51" s="460"/>
      <c r="O51" s="460"/>
      <c r="P51" s="460"/>
      <c r="Q51" s="460">
        <f t="shared" si="3"/>
        <v>30</v>
      </c>
      <c r="R51" s="462">
        <f t="shared" si="0"/>
        <v>68527.918781725893</v>
      </c>
    </row>
    <row r="52" spans="2:18" x14ac:dyDescent="0.25">
      <c r="B52" s="457">
        <v>45</v>
      </c>
      <c r="C52" s="465" t="s">
        <v>702</v>
      </c>
      <c r="D52" s="459">
        <v>20</v>
      </c>
      <c r="E52" s="460" t="s">
        <v>703</v>
      </c>
      <c r="F52" s="461">
        <v>220000</v>
      </c>
      <c r="G52" s="462">
        <f t="shared" si="1"/>
        <v>10152.284263959391</v>
      </c>
      <c r="H52" s="463">
        <v>20</v>
      </c>
      <c r="I52" s="460">
        <f t="shared" si="2"/>
        <v>40</v>
      </c>
      <c r="J52" s="460"/>
      <c r="K52" s="460">
        <v>5</v>
      </c>
      <c r="L52" s="460"/>
      <c r="M52" s="460"/>
      <c r="N52" s="460"/>
      <c r="O52" s="460"/>
      <c r="P52" s="460">
        <v>10</v>
      </c>
      <c r="Q52" s="460">
        <f t="shared" si="3"/>
        <v>25</v>
      </c>
      <c r="R52" s="462">
        <f t="shared" si="0"/>
        <v>253807.10659898477</v>
      </c>
    </row>
    <row r="53" spans="2:18" x14ac:dyDescent="0.25">
      <c r="B53" s="457">
        <v>46</v>
      </c>
      <c r="C53" s="458" t="s">
        <v>704</v>
      </c>
      <c r="D53" s="459">
        <v>10</v>
      </c>
      <c r="E53" s="460" t="s">
        <v>354</v>
      </c>
      <c r="F53" s="461">
        <v>66000</v>
      </c>
      <c r="G53" s="462">
        <f t="shared" si="1"/>
        <v>3045.6852791878168</v>
      </c>
      <c r="H53" s="463">
        <v>15</v>
      </c>
      <c r="I53" s="460">
        <f t="shared" si="2"/>
        <v>25</v>
      </c>
      <c r="J53" s="460"/>
      <c r="K53" s="460"/>
      <c r="L53" s="460"/>
      <c r="M53" s="460"/>
      <c r="N53" s="460"/>
      <c r="O53" s="460"/>
      <c r="P53" s="460"/>
      <c r="Q53" s="460">
        <f t="shared" si="3"/>
        <v>25</v>
      </c>
      <c r="R53" s="462">
        <f t="shared" si="0"/>
        <v>76142.131979695419</v>
      </c>
    </row>
    <row r="54" spans="2:18" x14ac:dyDescent="0.25">
      <c r="B54" s="457">
        <v>47</v>
      </c>
      <c r="C54" s="464" t="s">
        <v>705</v>
      </c>
      <c r="D54" s="459">
        <v>6</v>
      </c>
      <c r="E54" s="460" t="s">
        <v>293</v>
      </c>
      <c r="F54" s="461">
        <v>220000</v>
      </c>
      <c r="G54" s="462">
        <f t="shared" si="1"/>
        <v>10152.284263959391</v>
      </c>
      <c r="H54" s="463">
        <v>15</v>
      </c>
      <c r="I54" s="460">
        <f t="shared" si="2"/>
        <v>21</v>
      </c>
      <c r="J54" s="460"/>
      <c r="K54" s="460"/>
      <c r="L54" s="460">
        <v>11</v>
      </c>
      <c r="M54" s="460"/>
      <c r="N54" s="460"/>
      <c r="O54" s="460"/>
      <c r="P54" s="460"/>
      <c r="Q54" s="460">
        <f t="shared" si="3"/>
        <v>10</v>
      </c>
      <c r="R54" s="462">
        <f t="shared" si="0"/>
        <v>101522.8426395939</v>
      </c>
    </row>
    <row r="55" spans="2:18" x14ac:dyDescent="0.25">
      <c r="B55" s="457">
        <v>48</v>
      </c>
      <c r="C55" s="465" t="s">
        <v>403</v>
      </c>
      <c r="D55" s="459">
        <v>24</v>
      </c>
      <c r="E55" s="460" t="s">
        <v>293</v>
      </c>
      <c r="F55" s="461">
        <v>380000</v>
      </c>
      <c r="G55" s="462">
        <f t="shared" si="1"/>
        <v>17535.76372865713</v>
      </c>
      <c r="H55" s="463">
        <v>30</v>
      </c>
      <c r="I55" s="460">
        <f t="shared" si="2"/>
        <v>54</v>
      </c>
      <c r="J55" s="460"/>
      <c r="K55" s="460">
        <v>1</v>
      </c>
      <c r="L55" s="460">
        <v>1</v>
      </c>
      <c r="M55" s="460">
        <v>11</v>
      </c>
      <c r="N55" s="460"/>
      <c r="O55" s="460"/>
      <c r="P55" s="460">
        <v>1</v>
      </c>
      <c r="Q55" s="460">
        <f t="shared" si="3"/>
        <v>40</v>
      </c>
      <c r="R55" s="462">
        <f t="shared" si="0"/>
        <v>701430.54914628516</v>
      </c>
    </row>
    <row r="56" spans="2:18" x14ac:dyDescent="0.25">
      <c r="B56" s="457">
        <v>49</v>
      </c>
      <c r="C56" s="458" t="s">
        <v>706</v>
      </c>
      <c r="D56" s="459">
        <v>15</v>
      </c>
      <c r="E56" s="460" t="s">
        <v>707</v>
      </c>
      <c r="F56" s="461">
        <v>380000</v>
      </c>
      <c r="G56" s="462">
        <f t="shared" si="1"/>
        <v>17535.76372865713</v>
      </c>
      <c r="H56" s="463">
        <v>15</v>
      </c>
      <c r="I56" s="460">
        <f t="shared" si="2"/>
        <v>30</v>
      </c>
      <c r="J56" s="460"/>
      <c r="K56" s="460">
        <v>5</v>
      </c>
      <c r="L56" s="460"/>
      <c r="M56" s="460"/>
      <c r="N56" s="460"/>
      <c r="O56" s="460"/>
      <c r="P56" s="460"/>
      <c r="Q56" s="460">
        <f t="shared" si="3"/>
        <v>25</v>
      </c>
      <c r="R56" s="462">
        <f t="shared" si="0"/>
        <v>438394.09321642824</v>
      </c>
    </row>
    <row r="57" spans="2:18" x14ac:dyDescent="0.25">
      <c r="B57" s="457">
        <v>50</v>
      </c>
      <c r="C57" s="458" t="s">
        <v>708</v>
      </c>
      <c r="D57" s="459">
        <v>10</v>
      </c>
      <c r="E57" s="460" t="s">
        <v>374</v>
      </c>
      <c r="F57" s="461">
        <v>35750</v>
      </c>
      <c r="G57" s="462">
        <f t="shared" si="1"/>
        <v>1649.7461928934008</v>
      </c>
      <c r="H57" s="463">
        <v>30</v>
      </c>
      <c r="I57" s="460">
        <f t="shared" si="2"/>
        <v>40</v>
      </c>
      <c r="J57" s="460"/>
      <c r="K57" s="460"/>
      <c r="L57" s="460"/>
      <c r="M57" s="460"/>
      <c r="N57" s="460"/>
      <c r="O57" s="460"/>
      <c r="P57" s="460">
        <v>15</v>
      </c>
      <c r="Q57" s="460">
        <f t="shared" si="3"/>
        <v>25</v>
      </c>
      <c r="R57" s="462">
        <f t="shared" si="0"/>
        <v>41243.654822335018</v>
      </c>
    </row>
    <row r="58" spans="2:18" x14ac:dyDescent="0.25">
      <c r="B58" s="457">
        <v>51</v>
      </c>
      <c r="C58" s="458" t="s">
        <v>709</v>
      </c>
      <c r="D58" s="459">
        <v>2</v>
      </c>
      <c r="E58" s="460" t="s">
        <v>293</v>
      </c>
      <c r="F58" s="461">
        <v>220000</v>
      </c>
      <c r="G58" s="462">
        <f t="shared" si="1"/>
        <v>10152.284263959391</v>
      </c>
      <c r="H58" s="463">
        <v>15</v>
      </c>
      <c r="I58" s="460">
        <f>D58+H58</f>
        <v>17</v>
      </c>
      <c r="J58" s="460"/>
      <c r="K58" s="460"/>
      <c r="L58" s="460">
        <v>7</v>
      </c>
      <c r="M58" s="460"/>
      <c r="N58" s="460"/>
      <c r="O58" s="460">
        <v>1</v>
      </c>
      <c r="P58" s="460">
        <v>9</v>
      </c>
      <c r="Q58" s="460">
        <f t="shared" si="3"/>
        <v>0</v>
      </c>
      <c r="R58" s="462">
        <f t="shared" si="0"/>
        <v>0</v>
      </c>
    </row>
    <row r="59" spans="2:18" x14ac:dyDescent="0.25">
      <c r="B59" s="457">
        <v>52</v>
      </c>
      <c r="C59" s="465" t="s">
        <v>405</v>
      </c>
      <c r="D59" s="459">
        <v>30</v>
      </c>
      <c r="E59" s="460" t="s">
        <v>349</v>
      </c>
      <c r="F59" s="461">
        <v>220000</v>
      </c>
      <c r="G59" s="462">
        <f t="shared" si="1"/>
        <v>10152.284263959391</v>
      </c>
      <c r="H59" s="463">
        <v>30</v>
      </c>
      <c r="I59" s="460">
        <f t="shared" si="2"/>
        <v>60</v>
      </c>
      <c r="J59" s="460"/>
      <c r="K59" s="460"/>
      <c r="L59" s="460"/>
      <c r="M59" s="460">
        <v>15</v>
      </c>
      <c r="N59" s="460"/>
      <c r="O59" s="460"/>
      <c r="P59" s="460"/>
      <c r="Q59" s="460">
        <f t="shared" si="3"/>
        <v>45</v>
      </c>
      <c r="R59" s="462">
        <f t="shared" si="0"/>
        <v>456852.7918781726</v>
      </c>
    </row>
    <row r="60" spans="2:18" x14ac:dyDescent="0.25">
      <c r="B60" s="457">
        <v>53</v>
      </c>
      <c r="C60" s="458" t="s">
        <v>710</v>
      </c>
      <c r="D60" s="459">
        <v>0</v>
      </c>
      <c r="E60" s="460" t="s">
        <v>645</v>
      </c>
      <c r="F60" s="461">
        <v>45000</v>
      </c>
      <c r="G60" s="462">
        <f t="shared" si="1"/>
        <v>2076.6035994462391</v>
      </c>
      <c r="H60" s="463">
        <v>20</v>
      </c>
      <c r="I60" s="460">
        <f t="shared" si="2"/>
        <v>20</v>
      </c>
      <c r="J60" s="460"/>
      <c r="K60" s="460"/>
      <c r="L60" s="460"/>
      <c r="M60" s="460"/>
      <c r="N60" s="460">
        <v>15</v>
      </c>
      <c r="O60" s="460"/>
      <c r="P60" s="460"/>
      <c r="Q60" s="460">
        <f t="shared" si="3"/>
        <v>5</v>
      </c>
      <c r="R60" s="462">
        <f t="shared" si="0"/>
        <v>10383.017997231196</v>
      </c>
    </row>
    <row r="61" spans="2:18" x14ac:dyDescent="0.25">
      <c r="B61" s="457">
        <v>54</v>
      </c>
      <c r="C61" s="464" t="s">
        <v>711</v>
      </c>
      <c r="D61" s="467">
        <v>15</v>
      </c>
      <c r="E61" s="460" t="s">
        <v>354</v>
      </c>
      <c r="F61" s="461">
        <v>66000</v>
      </c>
      <c r="G61" s="462">
        <f t="shared" si="1"/>
        <v>3045.6852791878168</v>
      </c>
      <c r="H61" s="463">
        <v>25</v>
      </c>
      <c r="I61" s="460">
        <f t="shared" si="2"/>
        <v>40</v>
      </c>
      <c r="J61" s="460"/>
      <c r="K61" s="460"/>
      <c r="L61" s="460"/>
      <c r="M61" s="460"/>
      <c r="N61" s="460">
        <v>5</v>
      </c>
      <c r="O61" s="460"/>
      <c r="P61" s="460">
        <v>5</v>
      </c>
      <c r="Q61" s="460">
        <f t="shared" si="3"/>
        <v>30</v>
      </c>
      <c r="R61" s="462">
        <f t="shared" si="0"/>
        <v>91370.5583756345</v>
      </c>
    </row>
    <row r="62" spans="2:18" x14ac:dyDescent="0.25">
      <c r="B62" s="457">
        <v>55</v>
      </c>
      <c r="C62" s="464" t="s">
        <v>712</v>
      </c>
      <c r="D62" s="459">
        <v>0</v>
      </c>
      <c r="E62" s="460" t="s">
        <v>293</v>
      </c>
      <c r="F62" s="461">
        <v>132000</v>
      </c>
      <c r="G62" s="462">
        <f t="shared" si="1"/>
        <v>6091.3705583756337</v>
      </c>
      <c r="H62" s="463">
        <v>15</v>
      </c>
      <c r="I62" s="460">
        <f t="shared" si="2"/>
        <v>15</v>
      </c>
      <c r="J62" s="460">
        <v>5</v>
      </c>
      <c r="K62" s="460"/>
      <c r="L62" s="460"/>
      <c r="M62" s="460"/>
      <c r="N62" s="460"/>
      <c r="O62" s="460">
        <v>10</v>
      </c>
      <c r="P62" s="460"/>
      <c r="Q62" s="460">
        <f t="shared" si="3"/>
        <v>0</v>
      </c>
      <c r="R62" s="462">
        <f t="shared" si="0"/>
        <v>0</v>
      </c>
    </row>
    <row r="63" spans="2:18" x14ac:dyDescent="0.25">
      <c r="B63" s="457">
        <v>56</v>
      </c>
      <c r="C63" s="464" t="s">
        <v>406</v>
      </c>
      <c r="D63" s="459">
        <v>11</v>
      </c>
      <c r="E63" s="460" t="s">
        <v>380</v>
      </c>
      <c r="F63" s="461">
        <v>100000</v>
      </c>
      <c r="G63" s="462">
        <f t="shared" si="1"/>
        <v>4614.6746654360868</v>
      </c>
      <c r="H63" s="463">
        <v>25</v>
      </c>
      <c r="I63" s="460">
        <f t="shared" si="2"/>
        <v>36</v>
      </c>
      <c r="J63" s="460"/>
      <c r="K63" s="460"/>
      <c r="L63" s="460"/>
      <c r="M63" s="460">
        <v>7</v>
      </c>
      <c r="N63" s="460">
        <v>9</v>
      </c>
      <c r="O63" s="460"/>
      <c r="P63" s="460"/>
      <c r="Q63" s="460">
        <f t="shared" si="3"/>
        <v>20</v>
      </c>
      <c r="R63" s="462">
        <f t="shared" si="0"/>
        <v>92293.493308721736</v>
      </c>
    </row>
    <row r="64" spans="2:18" x14ac:dyDescent="0.25">
      <c r="B64" s="457">
        <v>57</v>
      </c>
      <c r="C64" s="458" t="s">
        <v>713</v>
      </c>
      <c r="D64" s="459">
        <v>0</v>
      </c>
      <c r="E64" s="460" t="s">
        <v>714</v>
      </c>
      <c r="F64" s="461">
        <v>27500</v>
      </c>
      <c r="G64" s="462">
        <f t="shared" si="1"/>
        <v>1269.0355329949239</v>
      </c>
      <c r="H64" s="463">
        <v>20</v>
      </c>
      <c r="I64" s="460">
        <f t="shared" si="2"/>
        <v>20</v>
      </c>
      <c r="J64" s="460"/>
      <c r="K64" s="460"/>
      <c r="L64" s="460"/>
      <c r="M64" s="460"/>
      <c r="N64" s="460">
        <v>5</v>
      </c>
      <c r="O64" s="460"/>
      <c r="P64" s="460">
        <v>6</v>
      </c>
      <c r="Q64" s="460">
        <f t="shared" si="3"/>
        <v>9</v>
      </c>
      <c r="R64" s="462">
        <f t="shared" si="0"/>
        <v>11421.319796954314</v>
      </c>
    </row>
    <row r="65" spans="2:18" x14ac:dyDescent="0.25">
      <c r="B65" s="457">
        <v>58</v>
      </c>
      <c r="C65" s="464" t="s">
        <v>715</v>
      </c>
      <c r="D65" s="459">
        <v>2</v>
      </c>
      <c r="E65" s="460" t="s">
        <v>388</v>
      </c>
      <c r="F65" s="461">
        <v>45000</v>
      </c>
      <c r="G65" s="462">
        <f t="shared" si="1"/>
        <v>2076.6035994462391</v>
      </c>
      <c r="H65" s="463">
        <v>15</v>
      </c>
      <c r="I65" s="460">
        <f t="shared" si="2"/>
        <v>17</v>
      </c>
      <c r="J65" s="460"/>
      <c r="K65" s="460"/>
      <c r="L65" s="460"/>
      <c r="M65" s="460"/>
      <c r="N65" s="460">
        <v>4</v>
      </c>
      <c r="O65" s="460"/>
      <c r="P65" s="460"/>
      <c r="Q65" s="460">
        <f t="shared" si="3"/>
        <v>13</v>
      </c>
      <c r="R65" s="462">
        <f t="shared" si="0"/>
        <v>26995.846792801109</v>
      </c>
    </row>
    <row r="66" spans="2:18" x14ac:dyDescent="0.25">
      <c r="B66" s="457">
        <v>59</v>
      </c>
      <c r="C66" s="464" t="s">
        <v>716</v>
      </c>
      <c r="D66" s="459">
        <v>5</v>
      </c>
      <c r="E66" s="460" t="s">
        <v>374</v>
      </c>
      <c r="F66" s="461">
        <v>27500</v>
      </c>
      <c r="G66" s="462">
        <f t="shared" si="1"/>
        <v>1269.0355329949239</v>
      </c>
      <c r="H66" s="463">
        <v>15</v>
      </c>
      <c r="I66" s="460">
        <f t="shared" si="2"/>
        <v>20</v>
      </c>
      <c r="J66" s="460">
        <v>5</v>
      </c>
      <c r="K66" s="460"/>
      <c r="L66" s="460"/>
      <c r="M66" s="460"/>
      <c r="N66" s="460"/>
      <c r="O66" s="460">
        <v>10</v>
      </c>
      <c r="P66" s="460"/>
      <c r="Q66" s="460">
        <f t="shared" si="3"/>
        <v>5</v>
      </c>
      <c r="R66" s="462">
        <f t="shared" si="0"/>
        <v>6345.1776649746189</v>
      </c>
    </row>
    <row r="67" spans="2:18" x14ac:dyDescent="0.25">
      <c r="B67" s="457">
        <v>60</v>
      </c>
      <c r="C67" s="460" t="s">
        <v>717</v>
      </c>
      <c r="D67" s="459">
        <v>15</v>
      </c>
      <c r="E67" s="460" t="s">
        <v>640</v>
      </c>
      <c r="F67" s="461">
        <v>85000</v>
      </c>
      <c r="G67" s="462">
        <f t="shared" si="1"/>
        <v>3922.4734656206733</v>
      </c>
      <c r="H67" s="463">
        <v>30</v>
      </c>
      <c r="I67" s="460">
        <f t="shared" si="2"/>
        <v>45</v>
      </c>
      <c r="J67" s="460"/>
      <c r="K67" s="460"/>
      <c r="L67" s="460"/>
      <c r="M67" s="460"/>
      <c r="N67" s="460"/>
      <c r="O67" s="460"/>
      <c r="P67" s="460">
        <v>15</v>
      </c>
      <c r="Q67" s="460">
        <f t="shared" si="3"/>
        <v>30</v>
      </c>
      <c r="R67" s="462">
        <f t="shared" si="0"/>
        <v>117674.2039686202</v>
      </c>
    </row>
    <row r="68" spans="2:18" x14ac:dyDescent="0.25">
      <c r="B68" s="457">
        <v>61</v>
      </c>
      <c r="C68" s="464" t="s">
        <v>718</v>
      </c>
      <c r="D68" s="459">
        <v>11</v>
      </c>
      <c r="E68" s="460" t="s">
        <v>719</v>
      </c>
      <c r="F68" s="461">
        <v>49500</v>
      </c>
      <c r="G68" s="462">
        <f t="shared" si="1"/>
        <v>2284.263959390863</v>
      </c>
      <c r="H68" s="463">
        <v>20</v>
      </c>
      <c r="I68" s="460">
        <f t="shared" si="2"/>
        <v>31</v>
      </c>
      <c r="J68" s="460"/>
      <c r="K68" s="460"/>
      <c r="L68" s="460"/>
      <c r="M68" s="460"/>
      <c r="N68" s="460">
        <v>11</v>
      </c>
      <c r="O68" s="460"/>
      <c r="P68" s="460"/>
      <c r="Q68" s="460">
        <f t="shared" si="3"/>
        <v>20</v>
      </c>
      <c r="R68" s="462">
        <f t="shared" si="0"/>
        <v>45685.279187817257</v>
      </c>
    </row>
    <row r="69" spans="2:18" x14ac:dyDescent="0.25">
      <c r="B69" s="457">
        <v>62</v>
      </c>
      <c r="C69" s="464" t="s">
        <v>720</v>
      </c>
      <c r="D69" s="459">
        <v>12</v>
      </c>
      <c r="E69" s="460" t="s">
        <v>721</v>
      </c>
      <c r="F69" s="461">
        <v>88000</v>
      </c>
      <c r="G69" s="462">
        <f t="shared" si="1"/>
        <v>4060.9137055837559</v>
      </c>
      <c r="H69" s="463">
        <v>30</v>
      </c>
      <c r="I69" s="460">
        <f t="shared" si="2"/>
        <v>42</v>
      </c>
      <c r="J69" s="460"/>
      <c r="K69" s="460"/>
      <c r="L69" s="460"/>
      <c r="M69" s="460"/>
      <c r="N69" s="460"/>
      <c r="O69" s="460"/>
      <c r="P69" s="460">
        <v>17</v>
      </c>
      <c r="Q69" s="460">
        <f t="shared" si="3"/>
        <v>25</v>
      </c>
      <c r="R69" s="462">
        <f t="shared" si="0"/>
        <v>101522.8426395939</v>
      </c>
    </row>
    <row r="70" spans="2:18" x14ac:dyDescent="0.25">
      <c r="B70" s="457">
        <v>63</v>
      </c>
      <c r="C70" s="464" t="s">
        <v>722</v>
      </c>
      <c r="D70" s="459">
        <v>0</v>
      </c>
      <c r="E70" s="460" t="s">
        <v>293</v>
      </c>
      <c r="F70" s="461">
        <v>220000</v>
      </c>
      <c r="G70" s="462">
        <f t="shared" si="1"/>
        <v>10152.284263959391</v>
      </c>
      <c r="H70" s="463">
        <v>15</v>
      </c>
      <c r="I70" s="460">
        <f t="shared" si="2"/>
        <v>15</v>
      </c>
      <c r="J70" s="460"/>
      <c r="K70" s="460"/>
      <c r="L70" s="460">
        <v>5</v>
      </c>
      <c r="M70" s="460"/>
      <c r="N70" s="460"/>
      <c r="O70" s="460"/>
      <c r="P70" s="460"/>
      <c r="Q70" s="460">
        <f t="shared" si="3"/>
        <v>10</v>
      </c>
      <c r="R70" s="462">
        <f t="shared" si="0"/>
        <v>101522.8426395939</v>
      </c>
    </row>
    <row r="71" spans="2:18" x14ac:dyDescent="0.25">
      <c r="B71" s="457">
        <v>64</v>
      </c>
      <c r="C71" s="465" t="s">
        <v>408</v>
      </c>
      <c r="D71" s="459">
        <v>11</v>
      </c>
      <c r="E71" s="460" t="s">
        <v>409</v>
      </c>
      <c r="F71" s="461">
        <v>180000</v>
      </c>
      <c r="G71" s="462">
        <f t="shared" si="1"/>
        <v>8306.4143977849562</v>
      </c>
      <c r="H71" s="463">
        <v>30</v>
      </c>
      <c r="I71" s="460">
        <f t="shared" si="2"/>
        <v>41</v>
      </c>
      <c r="J71" s="460"/>
      <c r="K71" s="460"/>
      <c r="L71" s="460"/>
      <c r="M71" s="460">
        <v>6</v>
      </c>
      <c r="N71" s="460"/>
      <c r="O71" s="460"/>
      <c r="P71" s="460"/>
      <c r="Q71" s="460">
        <f t="shared" si="3"/>
        <v>35</v>
      </c>
      <c r="R71" s="462">
        <f t="shared" si="0"/>
        <v>290724.50392247346</v>
      </c>
    </row>
    <row r="72" spans="2:18" x14ac:dyDescent="0.25">
      <c r="B72" s="457">
        <v>65</v>
      </c>
      <c r="C72" s="464" t="s">
        <v>723</v>
      </c>
      <c r="D72" s="468">
        <v>0</v>
      </c>
      <c r="E72" s="460" t="s">
        <v>363</v>
      </c>
      <c r="F72" s="461">
        <v>27500</v>
      </c>
      <c r="G72" s="462">
        <f t="shared" si="1"/>
        <v>1269.0355329949239</v>
      </c>
      <c r="H72" s="463">
        <v>15</v>
      </c>
      <c r="I72" s="460">
        <f t="shared" si="2"/>
        <v>15</v>
      </c>
      <c r="J72" s="460"/>
      <c r="K72" s="460"/>
      <c r="L72" s="460"/>
      <c r="M72" s="460"/>
      <c r="N72" s="460"/>
      <c r="O72" s="460"/>
      <c r="P72" s="460"/>
      <c r="Q72" s="460">
        <f t="shared" si="3"/>
        <v>15</v>
      </c>
      <c r="R72" s="462">
        <f t="shared" ref="R72:R92" si="4">G72*Q72</f>
        <v>19035.532994923858</v>
      </c>
    </row>
    <row r="73" spans="2:18" x14ac:dyDescent="0.25">
      <c r="B73" s="457">
        <v>66</v>
      </c>
      <c r="C73" s="464" t="s">
        <v>724</v>
      </c>
      <c r="D73" s="459">
        <v>15</v>
      </c>
      <c r="E73" s="460" t="s">
        <v>354</v>
      </c>
      <c r="F73" s="461">
        <v>66000</v>
      </c>
      <c r="G73" s="462">
        <f t="shared" ref="G73:G92" si="5">F73/21.67</f>
        <v>3045.6852791878168</v>
      </c>
      <c r="H73" s="463">
        <v>15</v>
      </c>
      <c r="I73" s="460">
        <f t="shared" ref="I73:I92" si="6">D73+H73</f>
        <v>30</v>
      </c>
      <c r="J73" s="460"/>
      <c r="K73" s="460"/>
      <c r="L73" s="460"/>
      <c r="M73" s="460"/>
      <c r="N73" s="460"/>
      <c r="O73" s="460">
        <v>19</v>
      </c>
      <c r="P73" s="460"/>
      <c r="Q73" s="460">
        <f t="shared" ref="Q73:Q92" si="7">I73-J73-K73-L73-M73-N73-O73-P73</f>
        <v>11</v>
      </c>
      <c r="R73" s="462">
        <f t="shared" si="4"/>
        <v>33502.538071065988</v>
      </c>
    </row>
    <row r="74" spans="2:18" x14ac:dyDescent="0.25">
      <c r="B74" s="457">
        <v>67</v>
      </c>
      <c r="C74" s="464" t="s">
        <v>410</v>
      </c>
      <c r="D74" s="468">
        <v>0</v>
      </c>
      <c r="E74" s="460" t="s">
        <v>404</v>
      </c>
      <c r="F74" s="461">
        <v>25000</v>
      </c>
      <c r="G74" s="462">
        <f t="shared" si="5"/>
        <v>1153.6686663590217</v>
      </c>
      <c r="H74" s="463">
        <v>15</v>
      </c>
      <c r="I74" s="460">
        <f t="shared" si="6"/>
        <v>15</v>
      </c>
      <c r="J74" s="460"/>
      <c r="K74" s="460"/>
      <c r="L74" s="460"/>
      <c r="M74" s="460">
        <v>15</v>
      </c>
      <c r="N74" s="460"/>
      <c r="O74" s="460"/>
      <c r="P74" s="460"/>
      <c r="Q74" s="460">
        <f t="shared" si="7"/>
        <v>0</v>
      </c>
      <c r="R74" s="462">
        <f t="shared" si="4"/>
        <v>0</v>
      </c>
    </row>
    <row r="75" spans="2:18" x14ac:dyDescent="0.25">
      <c r="B75" s="457">
        <v>68</v>
      </c>
      <c r="C75" s="464" t="s">
        <v>411</v>
      </c>
      <c r="D75" s="468">
        <v>15</v>
      </c>
      <c r="E75" s="460" t="s">
        <v>412</v>
      </c>
      <c r="F75" s="461">
        <v>35750</v>
      </c>
      <c r="G75" s="462">
        <f t="shared" si="5"/>
        <v>1649.7461928934008</v>
      </c>
      <c r="H75" s="463">
        <v>20</v>
      </c>
      <c r="I75" s="460">
        <f t="shared" si="6"/>
        <v>35</v>
      </c>
      <c r="J75" s="460">
        <v>20</v>
      </c>
      <c r="K75" s="460"/>
      <c r="L75" s="460"/>
      <c r="M75" s="460">
        <v>6</v>
      </c>
      <c r="N75" s="460"/>
      <c r="O75" s="460"/>
      <c r="P75" s="460"/>
      <c r="Q75" s="460">
        <f t="shared" si="7"/>
        <v>9</v>
      </c>
      <c r="R75" s="462">
        <f t="shared" si="4"/>
        <v>14847.715736040607</v>
      </c>
    </row>
    <row r="76" spans="2:18" x14ac:dyDescent="0.25">
      <c r="B76" s="457">
        <v>69</v>
      </c>
      <c r="C76" s="464" t="s">
        <v>725</v>
      </c>
      <c r="D76" s="468">
        <v>0</v>
      </c>
      <c r="E76" s="460" t="s">
        <v>645</v>
      </c>
      <c r="F76" s="461">
        <v>49500</v>
      </c>
      <c r="G76" s="462">
        <f t="shared" si="5"/>
        <v>2284.263959390863</v>
      </c>
      <c r="H76" s="463">
        <v>15</v>
      </c>
      <c r="I76" s="460">
        <f t="shared" si="6"/>
        <v>15</v>
      </c>
      <c r="J76" s="460"/>
      <c r="K76" s="460"/>
      <c r="L76" s="460"/>
      <c r="M76" s="460"/>
      <c r="N76" s="460"/>
      <c r="O76" s="460"/>
      <c r="P76" s="460"/>
      <c r="Q76" s="460">
        <f t="shared" si="7"/>
        <v>15</v>
      </c>
      <c r="R76" s="462">
        <f t="shared" si="4"/>
        <v>34263.959390862947</v>
      </c>
    </row>
    <row r="77" spans="2:18" x14ac:dyDescent="0.25">
      <c r="B77" s="457">
        <v>70</v>
      </c>
      <c r="C77" s="458" t="s">
        <v>726</v>
      </c>
      <c r="D77" s="468">
        <v>0</v>
      </c>
      <c r="E77" s="460" t="s">
        <v>355</v>
      </c>
      <c r="F77" s="461">
        <v>22000</v>
      </c>
      <c r="G77" s="462">
        <f t="shared" si="5"/>
        <v>1015.228426395939</v>
      </c>
      <c r="H77" s="463">
        <v>30</v>
      </c>
      <c r="I77" s="460">
        <f t="shared" si="6"/>
        <v>30</v>
      </c>
      <c r="J77" s="460"/>
      <c r="K77" s="460"/>
      <c r="L77" s="460"/>
      <c r="M77" s="460"/>
      <c r="N77" s="460"/>
      <c r="O77" s="460"/>
      <c r="P77" s="460"/>
      <c r="Q77" s="460">
        <f t="shared" si="7"/>
        <v>30</v>
      </c>
      <c r="R77" s="462">
        <f t="shared" si="4"/>
        <v>30456.852791878169</v>
      </c>
    </row>
    <row r="78" spans="2:18" x14ac:dyDescent="0.25">
      <c r="B78" s="457">
        <v>71</v>
      </c>
      <c r="C78" s="464" t="s">
        <v>727</v>
      </c>
      <c r="D78" s="468">
        <v>0</v>
      </c>
      <c r="E78" s="460" t="s">
        <v>714</v>
      </c>
      <c r="F78" s="461">
        <v>29370</v>
      </c>
      <c r="G78" s="462">
        <f t="shared" si="5"/>
        <v>1355.3299492385786</v>
      </c>
      <c r="H78" s="463">
        <v>25</v>
      </c>
      <c r="I78" s="460">
        <f t="shared" si="6"/>
        <v>25</v>
      </c>
      <c r="J78" s="460">
        <v>25</v>
      </c>
      <c r="K78" s="460"/>
      <c r="L78" s="460"/>
      <c r="M78" s="460"/>
      <c r="N78" s="460"/>
      <c r="O78" s="460"/>
      <c r="P78" s="460"/>
      <c r="Q78" s="460">
        <f t="shared" si="7"/>
        <v>0</v>
      </c>
      <c r="R78" s="462">
        <f t="shared" si="4"/>
        <v>0</v>
      </c>
    </row>
    <row r="79" spans="2:18" x14ac:dyDescent="0.25">
      <c r="B79" s="457">
        <v>72</v>
      </c>
      <c r="C79" s="464" t="s">
        <v>728</v>
      </c>
      <c r="D79" s="468">
        <v>28</v>
      </c>
      <c r="E79" s="460" t="s">
        <v>645</v>
      </c>
      <c r="F79" s="461">
        <v>45000</v>
      </c>
      <c r="G79" s="462">
        <f t="shared" si="5"/>
        <v>2076.6035994462391</v>
      </c>
      <c r="H79" s="463">
        <v>30</v>
      </c>
      <c r="I79" s="460">
        <f t="shared" si="6"/>
        <v>58</v>
      </c>
      <c r="J79" s="460"/>
      <c r="K79" s="460"/>
      <c r="L79" s="460"/>
      <c r="M79" s="460"/>
      <c r="N79" s="460"/>
      <c r="O79" s="460"/>
      <c r="P79" s="460"/>
      <c r="Q79" s="460">
        <f t="shared" si="7"/>
        <v>58</v>
      </c>
      <c r="R79" s="462">
        <f t="shared" si="4"/>
        <v>120443.00876788187</v>
      </c>
    </row>
    <row r="80" spans="2:18" x14ac:dyDescent="0.25">
      <c r="B80" s="457">
        <v>73</v>
      </c>
      <c r="C80" s="464" t="s">
        <v>729</v>
      </c>
      <c r="D80" s="468">
        <v>0</v>
      </c>
      <c r="E80" s="460" t="s">
        <v>714</v>
      </c>
      <c r="F80" s="461">
        <v>27500</v>
      </c>
      <c r="G80" s="462">
        <f t="shared" si="5"/>
        <v>1269.0355329949239</v>
      </c>
      <c r="H80" s="463">
        <v>15</v>
      </c>
      <c r="I80" s="460">
        <f t="shared" si="6"/>
        <v>15</v>
      </c>
      <c r="J80" s="460"/>
      <c r="K80" s="460"/>
      <c r="L80" s="460"/>
      <c r="M80" s="460"/>
      <c r="N80" s="460"/>
      <c r="O80" s="460"/>
      <c r="P80" s="460">
        <v>15</v>
      </c>
      <c r="Q80" s="460">
        <f t="shared" si="7"/>
        <v>0</v>
      </c>
      <c r="R80" s="462">
        <f t="shared" si="4"/>
        <v>0</v>
      </c>
    </row>
    <row r="81" spans="2:18" x14ac:dyDescent="0.25">
      <c r="B81" s="457">
        <v>74</v>
      </c>
      <c r="C81" s="465" t="s">
        <v>491</v>
      </c>
      <c r="D81" s="459">
        <v>10</v>
      </c>
      <c r="E81" s="460" t="s">
        <v>413</v>
      </c>
      <c r="F81" s="461">
        <v>380000</v>
      </c>
      <c r="G81" s="462">
        <f t="shared" si="5"/>
        <v>17535.76372865713</v>
      </c>
      <c r="H81" s="463">
        <v>30</v>
      </c>
      <c r="I81" s="460">
        <f t="shared" si="6"/>
        <v>40</v>
      </c>
      <c r="J81" s="460"/>
      <c r="K81" s="460">
        <v>3</v>
      </c>
      <c r="L81" s="460">
        <v>3</v>
      </c>
      <c r="M81" s="460"/>
      <c r="N81" s="460">
        <v>4</v>
      </c>
      <c r="O81" s="460"/>
      <c r="P81" s="460">
        <v>10</v>
      </c>
      <c r="Q81" s="460">
        <f t="shared" si="7"/>
        <v>20</v>
      </c>
      <c r="R81" s="462">
        <f t="shared" si="4"/>
        <v>350715.27457314258</v>
      </c>
    </row>
    <row r="82" spans="2:18" ht="15.75" customHeight="1" x14ac:dyDescent="0.25">
      <c r="B82" s="457">
        <v>75</v>
      </c>
      <c r="C82" s="464" t="s">
        <v>730</v>
      </c>
      <c r="D82" s="459">
        <v>6</v>
      </c>
      <c r="E82" s="460" t="s">
        <v>293</v>
      </c>
      <c r="F82" s="461">
        <v>120000</v>
      </c>
      <c r="G82" s="462">
        <f t="shared" si="5"/>
        <v>5537.6095985233032</v>
      </c>
      <c r="H82" s="463">
        <v>30</v>
      </c>
      <c r="I82" s="460">
        <f t="shared" si="6"/>
        <v>36</v>
      </c>
      <c r="J82" s="460"/>
      <c r="K82" s="460"/>
      <c r="L82" s="460">
        <v>15</v>
      </c>
      <c r="M82" s="460"/>
      <c r="N82" s="460"/>
      <c r="O82" s="460"/>
      <c r="P82" s="460"/>
      <c r="Q82" s="460">
        <f t="shared" si="7"/>
        <v>21</v>
      </c>
      <c r="R82" s="462">
        <f t="shared" si="4"/>
        <v>116289.80156898937</v>
      </c>
    </row>
    <row r="83" spans="2:18" x14ac:dyDescent="0.25">
      <c r="B83" s="457">
        <v>76</v>
      </c>
      <c r="C83" s="465" t="s">
        <v>414</v>
      </c>
      <c r="D83" s="459">
        <v>10</v>
      </c>
      <c r="E83" s="460" t="s">
        <v>354</v>
      </c>
      <c r="F83" s="461">
        <v>66000</v>
      </c>
      <c r="G83" s="462">
        <f t="shared" si="5"/>
        <v>3045.6852791878168</v>
      </c>
      <c r="H83" s="463">
        <v>30</v>
      </c>
      <c r="I83" s="460">
        <f t="shared" si="6"/>
        <v>40</v>
      </c>
      <c r="J83" s="460"/>
      <c r="K83" s="460"/>
      <c r="L83" s="460"/>
      <c r="M83" s="460">
        <v>15</v>
      </c>
      <c r="N83" s="460"/>
      <c r="O83" s="460"/>
      <c r="P83" s="460"/>
      <c r="Q83" s="460">
        <f t="shared" si="7"/>
        <v>25</v>
      </c>
      <c r="R83" s="462">
        <f t="shared" si="4"/>
        <v>76142.131979695419</v>
      </c>
    </row>
    <row r="84" spans="2:18" x14ac:dyDescent="0.25">
      <c r="B84" s="457">
        <v>77</v>
      </c>
      <c r="C84" s="465" t="s">
        <v>731</v>
      </c>
      <c r="D84" s="459">
        <v>0</v>
      </c>
      <c r="E84" s="460" t="s">
        <v>355</v>
      </c>
      <c r="F84" s="461">
        <v>20000</v>
      </c>
      <c r="G84" s="462">
        <f t="shared" si="5"/>
        <v>922.93493308721725</v>
      </c>
      <c r="H84" s="463">
        <v>15</v>
      </c>
      <c r="I84" s="460">
        <f t="shared" si="6"/>
        <v>15</v>
      </c>
      <c r="J84" s="460"/>
      <c r="K84" s="460"/>
      <c r="L84" s="460"/>
      <c r="M84" s="460"/>
      <c r="N84" s="460"/>
      <c r="O84" s="460"/>
      <c r="P84" s="460"/>
      <c r="Q84" s="460">
        <f t="shared" si="7"/>
        <v>15</v>
      </c>
      <c r="R84" s="462">
        <f t="shared" si="4"/>
        <v>13844.023996308259</v>
      </c>
    </row>
    <row r="85" spans="2:18" x14ac:dyDescent="0.25">
      <c r="B85" s="457">
        <v>78</v>
      </c>
      <c r="C85" s="465" t="s">
        <v>732</v>
      </c>
      <c r="D85" s="459">
        <v>15</v>
      </c>
      <c r="E85" s="460" t="s">
        <v>733</v>
      </c>
      <c r="F85" s="461">
        <v>100000</v>
      </c>
      <c r="G85" s="462">
        <f t="shared" si="5"/>
        <v>4614.6746654360868</v>
      </c>
      <c r="H85" s="463">
        <v>25</v>
      </c>
      <c r="I85" s="460">
        <f t="shared" si="6"/>
        <v>40</v>
      </c>
      <c r="J85" s="460"/>
      <c r="K85" s="460"/>
      <c r="L85" s="460">
        <v>10</v>
      </c>
      <c r="M85" s="460"/>
      <c r="N85" s="460"/>
      <c r="O85" s="460"/>
      <c r="P85" s="460"/>
      <c r="Q85" s="460">
        <f t="shared" si="7"/>
        <v>30</v>
      </c>
      <c r="R85" s="462">
        <f t="shared" si="4"/>
        <v>138440.2399630826</v>
      </c>
    </row>
    <row r="86" spans="2:18" x14ac:dyDescent="0.25">
      <c r="B86" s="457">
        <v>79</v>
      </c>
      <c r="C86" s="464" t="s">
        <v>415</v>
      </c>
      <c r="D86" s="459">
        <v>25</v>
      </c>
      <c r="E86" s="460" t="s">
        <v>393</v>
      </c>
      <c r="F86" s="461">
        <v>66000</v>
      </c>
      <c r="G86" s="462">
        <f t="shared" si="5"/>
        <v>3045.6852791878168</v>
      </c>
      <c r="H86" s="463">
        <v>30</v>
      </c>
      <c r="I86" s="460">
        <f t="shared" si="6"/>
        <v>55</v>
      </c>
      <c r="J86" s="460"/>
      <c r="K86" s="460"/>
      <c r="L86" s="460"/>
      <c r="M86" s="460">
        <v>15</v>
      </c>
      <c r="N86" s="460"/>
      <c r="O86" s="460"/>
      <c r="P86" s="460">
        <v>10</v>
      </c>
      <c r="Q86" s="460">
        <f t="shared" si="7"/>
        <v>30</v>
      </c>
      <c r="R86" s="462">
        <f t="shared" si="4"/>
        <v>91370.5583756345</v>
      </c>
    </row>
    <row r="87" spans="2:18" x14ac:dyDescent="0.25">
      <c r="B87" s="457">
        <v>80</v>
      </c>
      <c r="C87" s="464" t="s">
        <v>734</v>
      </c>
      <c r="D87" s="459">
        <v>13</v>
      </c>
      <c r="E87" s="460" t="s">
        <v>735</v>
      </c>
      <c r="F87" s="461">
        <v>170000</v>
      </c>
      <c r="G87" s="462">
        <f t="shared" si="5"/>
        <v>7844.9469312413466</v>
      </c>
      <c r="H87" s="463">
        <v>30</v>
      </c>
      <c r="I87" s="460">
        <f t="shared" si="6"/>
        <v>43</v>
      </c>
      <c r="J87" s="460"/>
      <c r="K87" s="460"/>
      <c r="L87" s="460">
        <v>3</v>
      </c>
      <c r="M87" s="460"/>
      <c r="N87" s="460">
        <v>15</v>
      </c>
      <c r="O87" s="460"/>
      <c r="P87" s="460">
        <v>10</v>
      </c>
      <c r="Q87" s="460">
        <f t="shared" si="7"/>
        <v>15</v>
      </c>
      <c r="R87" s="462">
        <f t="shared" si="4"/>
        <v>117674.2039686202</v>
      </c>
    </row>
    <row r="88" spans="2:18" x14ac:dyDescent="0.25">
      <c r="B88" s="457">
        <v>81</v>
      </c>
      <c r="C88" s="464" t="s">
        <v>736</v>
      </c>
      <c r="D88" s="459">
        <v>6</v>
      </c>
      <c r="E88" s="460" t="s">
        <v>355</v>
      </c>
      <c r="F88" s="461">
        <v>22000</v>
      </c>
      <c r="G88" s="462">
        <f t="shared" si="5"/>
        <v>1015.228426395939</v>
      </c>
      <c r="H88" s="463">
        <v>15</v>
      </c>
      <c r="I88" s="460">
        <f t="shared" si="6"/>
        <v>21</v>
      </c>
      <c r="J88" s="460"/>
      <c r="K88" s="460"/>
      <c r="L88" s="460"/>
      <c r="M88" s="460"/>
      <c r="N88" s="460"/>
      <c r="O88" s="460"/>
      <c r="P88" s="460"/>
      <c r="Q88" s="460">
        <f t="shared" si="7"/>
        <v>21</v>
      </c>
      <c r="R88" s="462">
        <f t="shared" si="4"/>
        <v>21319.796954314719</v>
      </c>
    </row>
    <row r="89" spans="2:18" x14ac:dyDescent="0.25">
      <c r="B89" s="457">
        <v>82</v>
      </c>
      <c r="C89" s="464" t="s">
        <v>737</v>
      </c>
      <c r="D89" s="459">
        <v>15</v>
      </c>
      <c r="E89" s="460" t="s">
        <v>293</v>
      </c>
      <c r="F89" s="461">
        <v>115000</v>
      </c>
      <c r="G89" s="462">
        <f t="shared" si="5"/>
        <v>5306.8758652514989</v>
      </c>
      <c r="H89" s="463">
        <v>20</v>
      </c>
      <c r="I89" s="460">
        <f t="shared" si="6"/>
        <v>35</v>
      </c>
      <c r="J89" s="460"/>
      <c r="K89" s="460"/>
      <c r="L89" s="460">
        <v>10</v>
      </c>
      <c r="M89" s="460"/>
      <c r="N89" s="460"/>
      <c r="O89" s="460">
        <v>6</v>
      </c>
      <c r="P89" s="460"/>
      <c r="Q89" s="460">
        <f t="shared" si="7"/>
        <v>19</v>
      </c>
      <c r="R89" s="462">
        <f t="shared" si="4"/>
        <v>100830.64143977848</v>
      </c>
    </row>
    <row r="90" spans="2:18" x14ac:dyDescent="0.25">
      <c r="B90" s="457">
        <v>83</v>
      </c>
      <c r="C90" s="465" t="s">
        <v>416</v>
      </c>
      <c r="D90" s="459">
        <v>10</v>
      </c>
      <c r="E90" s="460" t="s">
        <v>363</v>
      </c>
      <c r="F90" s="461">
        <v>27500</v>
      </c>
      <c r="G90" s="462">
        <f t="shared" si="5"/>
        <v>1269.0355329949239</v>
      </c>
      <c r="H90" s="463">
        <v>30</v>
      </c>
      <c r="I90" s="460">
        <f t="shared" si="6"/>
        <v>40</v>
      </c>
      <c r="J90" s="460">
        <v>7</v>
      </c>
      <c r="K90" s="460"/>
      <c r="L90" s="460"/>
      <c r="M90" s="460">
        <v>3</v>
      </c>
      <c r="N90" s="460"/>
      <c r="O90" s="460"/>
      <c r="P90" s="460">
        <v>15</v>
      </c>
      <c r="Q90" s="460">
        <f t="shared" si="7"/>
        <v>15</v>
      </c>
      <c r="R90" s="462">
        <f t="shared" si="4"/>
        <v>19035.532994923858</v>
      </c>
    </row>
    <row r="91" spans="2:18" x14ac:dyDescent="0.25">
      <c r="B91" s="457">
        <v>84</v>
      </c>
      <c r="C91" s="465" t="s">
        <v>738</v>
      </c>
      <c r="D91" s="459">
        <v>0</v>
      </c>
      <c r="E91" s="460" t="s">
        <v>391</v>
      </c>
      <c r="F91" s="461">
        <v>22000</v>
      </c>
      <c r="G91" s="462">
        <f t="shared" si="5"/>
        <v>1015.228426395939</v>
      </c>
      <c r="H91" s="463">
        <v>15</v>
      </c>
      <c r="I91" s="460">
        <f t="shared" si="6"/>
        <v>15</v>
      </c>
      <c r="J91" s="460"/>
      <c r="K91" s="460"/>
      <c r="L91" s="460"/>
      <c r="M91" s="460"/>
      <c r="N91" s="460"/>
      <c r="O91" s="460"/>
      <c r="P91" s="460"/>
      <c r="Q91" s="460">
        <f t="shared" si="7"/>
        <v>15</v>
      </c>
      <c r="R91" s="462">
        <f t="shared" si="4"/>
        <v>15228.426395939085</v>
      </c>
    </row>
    <row r="92" spans="2:18" x14ac:dyDescent="0.25">
      <c r="B92" s="457">
        <v>85</v>
      </c>
      <c r="C92" s="458" t="s">
        <v>739</v>
      </c>
      <c r="D92" s="459">
        <v>9</v>
      </c>
      <c r="E92" s="460" t="s">
        <v>354</v>
      </c>
      <c r="F92" s="461">
        <v>80000</v>
      </c>
      <c r="G92" s="462">
        <f t="shared" si="5"/>
        <v>3691.739732348869</v>
      </c>
      <c r="H92" s="463">
        <v>25</v>
      </c>
      <c r="I92" s="460">
        <f t="shared" si="6"/>
        <v>34</v>
      </c>
      <c r="J92" s="460">
        <v>2</v>
      </c>
      <c r="K92" s="460"/>
      <c r="L92" s="460"/>
      <c r="M92" s="460"/>
      <c r="N92" s="460"/>
      <c r="O92" s="460">
        <v>2</v>
      </c>
      <c r="P92" s="460">
        <v>10</v>
      </c>
      <c r="Q92" s="460">
        <f t="shared" si="7"/>
        <v>20</v>
      </c>
      <c r="R92" s="462">
        <f t="shared" si="4"/>
        <v>73834.794646977374</v>
      </c>
    </row>
    <row r="93" spans="2:18" x14ac:dyDescent="0.25">
      <c r="B93" s="1"/>
      <c r="R93" s="22">
        <f>SUM(R8:R92)</f>
        <v>8412644.2085832953</v>
      </c>
    </row>
    <row r="94" spans="2:18" x14ac:dyDescent="0.25">
      <c r="Q94" s="71"/>
      <c r="R94" s="71"/>
    </row>
    <row r="95" spans="2:18" x14ac:dyDescent="0.25">
      <c r="C95" s="1"/>
      <c r="Q95" s="71"/>
      <c r="R95" s="59">
        <f>SUBTOTAL(9,R8:R92)</f>
        <v>8412644.2085832953</v>
      </c>
    </row>
    <row r="96" spans="2:18" x14ac:dyDescent="0.25">
      <c r="C96" s="1"/>
      <c r="R96" s="453" t="s">
        <v>771</v>
      </c>
    </row>
    <row r="97" spans="2:37" s="19" customFormat="1" x14ac:dyDescent="0.25">
      <c r="B97" s="447"/>
      <c r="C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454">
        <f>+R95/12</f>
        <v>701053.68404860795</v>
      </c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2:37" s="19" customFormat="1" x14ac:dyDescent="0.25">
      <c r="B98" s="447"/>
      <c r="C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7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2:37" s="19" customFormat="1" x14ac:dyDescent="0.25">
      <c r="B99" s="447"/>
      <c r="C99" s="146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59" t="s">
        <v>818</v>
      </c>
      <c r="R99" s="59">
        <v>878274.6</v>
      </c>
      <c r="S99" s="59"/>
      <c r="T99" s="59"/>
      <c r="U99" s="59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2:37" s="19" customFormat="1" ht="16.5" thickBot="1" x14ac:dyDescent="0.3">
      <c r="B100" s="447"/>
      <c r="C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59" t="s">
        <v>772</v>
      </c>
      <c r="R100" s="455">
        <f>+R97-R99</f>
        <v>-177220.91595139203</v>
      </c>
      <c r="S100" s="59"/>
      <c r="T100" s="59"/>
      <c r="U100" s="59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2:37" s="19" customFormat="1" ht="16.5" thickTop="1" x14ac:dyDescent="0.25">
      <c r="B101" s="447"/>
      <c r="C101" s="146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59"/>
      <c r="R101" s="59"/>
      <c r="S101" s="59"/>
      <c r="T101" s="59"/>
      <c r="U101" s="59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2:37" s="19" customFormat="1" x14ac:dyDescent="0.25">
      <c r="B102" s="447"/>
      <c r="C102" s="146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59"/>
      <c r="R102" s="59"/>
      <c r="S102" s="59"/>
      <c r="T102" s="59"/>
      <c r="U102" s="59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2:37" s="19" customFormat="1" x14ac:dyDescent="0.25">
      <c r="B103" s="447"/>
      <c r="C103" s="146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59"/>
      <c r="R103" s="59"/>
      <c r="S103" s="59"/>
      <c r="T103" s="59"/>
      <c r="U103" s="59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2:37" s="19" customFormat="1" x14ac:dyDescent="0.25">
      <c r="B104" s="447"/>
      <c r="C104" s="146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59"/>
      <c r="R104" s="59"/>
      <c r="S104" s="59"/>
      <c r="T104" s="59"/>
      <c r="U104" s="59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2:37" x14ac:dyDescent="0.25">
      <c r="Q105" s="59"/>
      <c r="R105" s="59"/>
      <c r="S105" s="59"/>
      <c r="T105" s="59"/>
      <c r="U105" s="59"/>
    </row>
  </sheetData>
  <conditionalFormatting sqref="D9:D13 D15 D19:D20 D22:D24 D26:D27 D29 D31:D34 D38:D39 D42 D44 D48:D49 D51:D59 D61 D63:D65 D67:D69 D71 D73 D81:D92">
    <cfRule type="cellIs" dxfId="0" priority="1" operator="equal">
      <formula>0</formula>
    </cfRule>
  </conditionalFormatting>
  <pageMargins left="0.51181102362204722" right="0.51181102362204722" top="0.74803149606299213" bottom="0.74803149606299213" header="0.31496062992125984" footer="0.31496062992125984"/>
  <pageSetup scale="46" fitToHeight="3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2:G40"/>
  <sheetViews>
    <sheetView zoomScaleNormal="100" workbookViewId="0">
      <selection activeCell="D13" sqref="D13"/>
    </sheetView>
  </sheetViews>
  <sheetFormatPr baseColWidth="10" defaultRowHeight="15.75" x14ac:dyDescent="0.25"/>
  <cols>
    <col min="1" max="1" width="26.42578125" style="1" bestFit="1" customWidth="1"/>
    <col min="2" max="2" width="22" style="1" bestFit="1" customWidth="1"/>
    <col min="3" max="3" width="18" style="1" bestFit="1" customWidth="1"/>
    <col min="4" max="6" width="11.42578125" style="1"/>
    <col min="7" max="7" width="16.42578125" style="1" bestFit="1" customWidth="1"/>
    <col min="8" max="16384" width="11.42578125" style="1"/>
  </cols>
  <sheetData>
    <row r="2" spans="1:7" x14ac:dyDescent="0.25">
      <c r="B2" s="71"/>
    </row>
    <row r="3" spans="1:7" x14ac:dyDescent="0.25">
      <c r="B3" s="71"/>
    </row>
    <row r="4" spans="1:7" x14ac:dyDescent="0.25">
      <c r="A4" s="146"/>
      <c r="B4" s="146"/>
      <c r="C4" s="146"/>
      <c r="D4" s="146"/>
      <c r="E4" s="146"/>
    </row>
    <row r="5" spans="1:7" x14ac:dyDescent="0.25">
      <c r="A5" s="16" t="s">
        <v>662</v>
      </c>
      <c r="B5" s="260"/>
      <c r="C5" s="260"/>
      <c r="D5" s="260"/>
      <c r="E5" s="260"/>
    </row>
    <row r="6" spans="1:7" x14ac:dyDescent="0.25">
      <c r="A6" s="16" t="s">
        <v>556</v>
      </c>
      <c r="B6" s="260"/>
      <c r="C6" s="260"/>
      <c r="D6" s="260"/>
      <c r="E6" s="260"/>
      <c r="G6" s="2"/>
    </row>
    <row r="7" spans="1:7" ht="16.5" thickBot="1" x14ac:dyDescent="0.3">
      <c r="A7" s="16"/>
      <c r="B7" s="260"/>
      <c r="C7" s="260"/>
      <c r="D7" s="260"/>
      <c r="E7" s="260"/>
      <c r="G7" s="2"/>
    </row>
    <row r="8" spans="1:7" ht="18.75" customHeight="1" thickBot="1" x14ac:dyDescent="0.3">
      <c r="A8" s="264" t="s">
        <v>554</v>
      </c>
      <c r="B8" s="265" t="s">
        <v>156</v>
      </c>
      <c r="C8" s="59"/>
      <c r="G8" s="2"/>
    </row>
    <row r="9" spans="1:7" x14ac:dyDescent="0.25">
      <c r="A9" s="262" t="s">
        <v>328</v>
      </c>
      <c r="B9" s="263">
        <v>540860</v>
      </c>
      <c r="C9" s="59"/>
      <c r="G9" s="2"/>
    </row>
    <row r="10" spans="1:7" x14ac:dyDescent="0.25">
      <c r="A10" s="152" t="s">
        <v>329</v>
      </c>
      <c r="B10" s="261">
        <v>8279020</v>
      </c>
      <c r="C10" s="59"/>
      <c r="G10" s="2"/>
    </row>
    <row r="11" spans="1:7" ht="18" x14ac:dyDescent="0.4">
      <c r="A11" s="152" t="s">
        <v>330</v>
      </c>
      <c r="B11" s="266">
        <v>870000</v>
      </c>
      <c r="C11" s="59"/>
      <c r="G11" s="2"/>
    </row>
    <row r="12" spans="1:7" ht="18" x14ac:dyDescent="0.4">
      <c r="A12" s="259" t="s">
        <v>169</v>
      </c>
      <c r="B12" s="140">
        <f>SUM(B9:B11)</f>
        <v>9689880</v>
      </c>
      <c r="C12" s="59"/>
      <c r="G12" s="2"/>
    </row>
    <row r="13" spans="1:7" x14ac:dyDescent="0.25">
      <c r="A13" s="152"/>
      <c r="B13" s="261"/>
      <c r="C13" s="59"/>
      <c r="G13" s="2"/>
    </row>
    <row r="14" spans="1:7" x14ac:dyDescent="0.25">
      <c r="A14" s="71"/>
      <c r="B14" s="267"/>
      <c r="C14" s="59"/>
      <c r="G14" s="2"/>
    </row>
    <row r="15" spans="1:7" x14ac:dyDescent="0.25">
      <c r="A15" s="92" t="s">
        <v>555</v>
      </c>
      <c r="B15" s="71"/>
      <c r="C15" s="59"/>
      <c r="G15" s="2"/>
    </row>
    <row r="16" spans="1:7" x14ac:dyDescent="0.25">
      <c r="A16" s="1" t="s">
        <v>327</v>
      </c>
      <c r="B16" s="56">
        <f>+B12/12</f>
        <v>807490</v>
      </c>
      <c r="G16" s="2"/>
    </row>
    <row r="17" spans="1:7" x14ac:dyDescent="0.25">
      <c r="A17" s="71"/>
      <c r="B17" s="59"/>
      <c r="C17" s="56"/>
      <c r="G17" s="2"/>
    </row>
    <row r="18" spans="1:7" x14ac:dyDescent="0.25">
      <c r="A18" s="71"/>
      <c r="B18" s="59"/>
      <c r="C18" s="56"/>
      <c r="G18" s="2"/>
    </row>
    <row r="19" spans="1:7" x14ac:dyDescent="0.25">
      <c r="A19" s="1" t="s">
        <v>552</v>
      </c>
      <c r="B19" s="2">
        <v>807490</v>
      </c>
      <c r="C19" s="59"/>
      <c r="G19" s="2"/>
    </row>
    <row r="20" spans="1:7" x14ac:dyDescent="0.25">
      <c r="A20" s="1" t="s">
        <v>573</v>
      </c>
      <c r="B20" s="2">
        <v>807490</v>
      </c>
      <c r="C20" s="59"/>
    </row>
    <row r="21" spans="1:7" x14ac:dyDescent="0.25">
      <c r="A21" s="1" t="s">
        <v>574</v>
      </c>
      <c r="B21" s="2">
        <v>807490</v>
      </c>
      <c r="C21" s="59"/>
    </row>
    <row r="22" spans="1:7" x14ac:dyDescent="0.25">
      <c r="A22" s="1" t="s">
        <v>575</v>
      </c>
      <c r="B22" s="2">
        <v>807490</v>
      </c>
      <c r="C22" s="59"/>
    </row>
    <row r="23" spans="1:7" x14ac:dyDescent="0.25">
      <c r="A23" s="1" t="s">
        <v>576</v>
      </c>
      <c r="B23" s="2">
        <v>807490</v>
      </c>
      <c r="C23" s="59"/>
    </row>
    <row r="24" spans="1:7" x14ac:dyDescent="0.25">
      <c r="A24" s="1" t="s">
        <v>577</v>
      </c>
      <c r="B24" s="2">
        <v>807490</v>
      </c>
      <c r="C24" s="59"/>
    </row>
    <row r="25" spans="1:7" x14ac:dyDescent="0.25">
      <c r="A25" s="1" t="s">
        <v>578</v>
      </c>
      <c r="B25" s="31">
        <v>807490</v>
      </c>
      <c r="C25" s="59"/>
    </row>
    <row r="26" spans="1:7" hidden="1" x14ac:dyDescent="0.25">
      <c r="A26" s="1" t="s">
        <v>579</v>
      </c>
      <c r="B26" s="31"/>
      <c r="C26" s="59"/>
    </row>
    <row r="27" spans="1:7" hidden="1" x14ac:dyDescent="0.25">
      <c r="A27" s="1" t="s">
        <v>580</v>
      </c>
      <c r="B27" s="31"/>
      <c r="C27" s="59"/>
    </row>
    <row r="28" spans="1:7" hidden="1" x14ac:dyDescent="0.25">
      <c r="A28" s="1" t="s">
        <v>581</v>
      </c>
      <c r="B28" s="31"/>
      <c r="C28" s="59"/>
    </row>
    <row r="29" spans="1:7" hidden="1" x14ac:dyDescent="0.25">
      <c r="A29" s="1" t="s">
        <v>582</v>
      </c>
      <c r="B29" s="31"/>
      <c r="C29" s="59"/>
    </row>
    <row r="30" spans="1:7" hidden="1" x14ac:dyDescent="0.25">
      <c r="A30" s="1" t="s">
        <v>583</v>
      </c>
      <c r="B30" s="31"/>
      <c r="C30" s="59"/>
    </row>
    <row r="31" spans="1:7" ht="16.5" thickBot="1" x14ac:dyDescent="0.3">
      <c r="A31" s="290" t="s">
        <v>553</v>
      </c>
      <c r="B31" s="291">
        <f>SUM(B19:B30)</f>
        <v>5652430</v>
      </c>
    </row>
    <row r="32" spans="1:7" ht="16.5" thickTop="1" x14ac:dyDescent="0.25">
      <c r="A32" s="71"/>
      <c r="B32" s="71"/>
      <c r="C32" s="2"/>
      <c r="D32" s="59"/>
    </row>
    <row r="34" spans="1:3" x14ac:dyDescent="0.25">
      <c r="A34" s="1" t="s">
        <v>740</v>
      </c>
      <c r="C34" s="2">
        <f>+B19</f>
        <v>807490</v>
      </c>
    </row>
    <row r="35" spans="1:3" x14ac:dyDescent="0.25">
      <c r="A35" s="1" t="s">
        <v>816</v>
      </c>
      <c r="C35" s="2">
        <v>740364.98</v>
      </c>
    </row>
    <row r="36" spans="1:3" ht="16.5" thickBot="1" x14ac:dyDescent="0.3">
      <c r="A36" s="1" t="s">
        <v>817</v>
      </c>
      <c r="C36" s="412">
        <f>+C34-C35</f>
        <v>67125.020000000019</v>
      </c>
    </row>
    <row r="37" spans="1:3" ht="16.5" thickTop="1" x14ac:dyDescent="0.25"/>
    <row r="40" spans="1:3" x14ac:dyDescent="0.25">
      <c r="C40" s="20"/>
    </row>
  </sheetData>
  <phoneticPr fontId="32" type="noConversion"/>
  <pageMargins left="1.1023622047244095" right="0.70866141732283472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B1:L270"/>
  <sheetViews>
    <sheetView topLeftCell="A99" zoomScale="90" zoomScaleNormal="90" zoomScaleSheetLayoutView="80" workbookViewId="0">
      <selection activeCell="B120" sqref="B120"/>
    </sheetView>
  </sheetViews>
  <sheetFormatPr baseColWidth="10" defaultColWidth="11.5703125" defaultRowHeight="15.75" x14ac:dyDescent="0.25"/>
  <cols>
    <col min="1" max="1" width="3.7109375" style="1" customWidth="1"/>
    <col min="2" max="2" width="68.140625" style="1" customWidth="1"/>
    <col min="3" max="3" width="12.140625" style="19" customWidth="1"/>
    <col min="4" max="5" width="28.7109375" style="2" customWidth="1"/>
    <col min="6" max="6" width="24.7109375" style="2" bestFit="1" customWidth="1"/>
    <col min="7" max="7" width="19.42578125" style="1" customWidth="1"/>
    <col min="8" max="8" width="38.140625" style="1" customWidth="1"/>
    <col min="9" max="9" width="19.7109375" style="1" bestFit="1" customWidth="1"/>
    <col min="10" max="10" width="18.28515625" style="1" bestFit="1" customWidth="1"/>
    <col min="11" max="11" width="18.7109375" style="1" bestFit="1" customWidth="1"/>
    <col min="12" max="16384" width="11.5703125" style="1"/>
  </cols>
  <sheetData>
    <row r="1" spans="2:10" x14ac:dyDescent="0.25">
      <c r="B1" s="49"/>
      <c r="C1" s="50"/>
      <c r="D1" s="51"/>
      <c r="E1" s="51"/>
      <c r="F1" s="51"/>
    </row>
    <row r="2" spans="2:10" x14ac:dyDescent="0.25">
      <c r="D2" s="1"/>
      <c r="E2" s="1"/>
      <c r="F2" s="1"/>
    </row>
    <row r="3" spans="2:10" x14ac:dyDescent="0.25">
      <c r="D3" s="1"/>
      <c r="E3" s="1"/>
      <c r="F3" s="1"/>
    </row>
    <row r="4" spans="2:10" x14ac:dyDescent="0.25">
      <c r="D4" s="1"/>
      <c r="E4" s="1"/>
      <c r="F4" s="1"/>
    </row>
    <row r="5" spans="2:10" x14ac:dyDescent="0.25">
      <c r="D5" s="1"/>
      <c r="E5" s="1"/>
      <c r="F5" s="1"/>
    </row>
    <row r="6" spans="2:10" ht="24.75" customHeight="1" x14ac:dyDescent="0.25">
      <c r="B6" s="16" t="s">
        <v>175</v>
      </c>
      <c r="C6" s="53"/>
      <c r="D6" s="16"/>
      <c r="E6" s="16"/>
      <c r="F6" s="16"/>
      <c r="I6" s="2"/>
      <c r="J6" s="20"/>
    </row>
    <row r="7" spans="2:10" ht="24.75" customHeight="1" x14ac:dyDescent="0.25">
      <c r="B7" s="16" t="s">
        <v>814</v>
      </c>
      <c r="C7" s="53"/>
      <c r="D7" s="16"/>
      <c r="E7" s="16"/>
      <c r="F7" s="16"/>
      <c r="I7" s="2"/>
      <c r="J7" s="20"/>
    </row>
    <row r="8" spans="2:10" ht="24.75" customHeight="1" x14ac:dyDescent="0.25">
      <c r="B8" s="16" t="s">
        <v>455</v>
      </c>
      <c r="C8" s="53"/>
      <c r="D8" s="16"/>
      <c r="E8" s="16"/>
      <c r="F8" s="16"/>
      <c r="I8" s="2"/>
    </row>
    <row r="9" spans="2:10" ht="24.75" customHeight="1" x14ac:dyDescent="0.25">
      <c r="B9" s="16"/>
      <c r="C9" s="357" t="s">
        <v>77</v>
      </c>
      <c r="D9" s="357" t="s">
        <v>3</v>
      </c>
      <c r="E9" s="357" t="s">
        <v>66</v>
      </c>
      <c r="F9" s="357" t="s">
        <v>67</v>
      </c>
      <c r="I9" s="55"/>
    </row>
    <row r="10" spans="2:10" ht="20.100000000000001" customHeight="1" x14ac:dyDescent="0.25">
      <c r="B10" s="16"/>
      <c r="C10" s="53"/>
      <c r="D10" s="16"/>
      <c r="E10" s="16"/>
      <c r="F10" s="16"/>
      <c r="I10" s="55"/>
    </row>
    <row r="11" spans="2:10" ht="20.100000000000001" customHeight="1" x14ac:dyDescent="0.25">
      <c r="D11" s="1"/>
      <c r="E11" s="1"/>
      <c r="F11" s="1"/>
      <c r="I11" s="55"/>
    </row>
    <row r="12" spans="2:10" ht="24.75" customHeight="1" x14ac:dyDescent="0.25">
      <c r="B12" s="16" t="s">
        <v>91</v>
      </c>
      <c r="C12" s="53">
        <v>1</v>
      </c>
      <c r="D12" s="1"/>
      <c r="E12" s="1"/>
      <c r="F12" s="1"/>
      <c r="I12" s="55"/>
    </row>
    <row r="13" spans="2:10" ht="20.100000000000001" hidden="1" customHeight="1" x14ac:dyDescent="0.25">
      <c r="B13" s="1" t="s">
        <v>522</v>
      </c>
      <c r="D13" s="55">
        <f>+'Cédula Nota 1'!D9</f>
        <v>0</v>
      </c>
      <c r="E13" s="55">
        <v>0</v>
      </c>
      <c r="F13" s="55">
        <f t="shared" ref="F13:F18" si="0">D13-E13</f>
        <v>0</v>
      </c>
      <c r="I13" s="55"/>
    </row>
    <row r="14" spans="2:10" ht="20.100000000000001" customHeight="1" x14ac:dyDescent="0.25">
      <c r="B14" s="1" t="s">
        <v>92</v>
      </c>
      <c r="D14" s="55">
        <f>+'Cédula Nota 1'!D10</f>
        <v>200000</v>
      </c>
      <c r="E14" s="55">
        <v>200000</v>
      </c>
      <c r="F14" s="55">
        <f t="shared" si="0"/>
        <v>0</v>
      </c>
      <c r="I14" s="55"/>
    </row>
    <row r="15" spans="2:10" ht="20.100000000000001" customHeight="1" x14ac:dyDescent="0.25">
      <c r="B15" s="1" t="s">
        <v>93</v>
      </c>
      <c r="D15" s="55">
        <f>+'Cédula Nota 1'!D11</f>
        <v>281948745.22000003</v>
      </c>
      <c r="E15" s="55">
        <v>351539391.70999998</v>
      </c>
      <c r="F15" s="55">
        <f t="shared" si="0"/>
        <v>-69590646.48999995</v>
      </c>
      <c r="I15" s="55"/>
    </row>
    <row r="16" spans="2:10" ht="20.100000000000001" customHeight="1" x14ac:dyDescent="0.25">
      <c r="B16" s="1" t="s">
        <v>198</v>
      </c>
      <c r="D16" s="55">
        <f>+'Cédula Nota 1'!D12</f>
        <v>50471.38</v>
      </c>
      <c r="E16" s="55">
        <v>50646.34</v>
      </c>
      <c r="F16" s="55">
        <f t="shared" si="0"/>
        <v>-174.95999999999913</v>
      </c>
      <c r="I16" s="55"/>
    </row>
    <row r="17" spans="2:9" ht="20.100000000000001" customHeight="1" x14ac:dyDescent="0.25">
      <c r="B17" s="1" t="s">
        <v>199</v>
      </c>
      <c r="D17" s="55">
        <f>+'Cédula Nota 1'!D13</f>
        <v>10154.17</v>
      </c>
      <c r="E17" s="55">
        <v>10000</v>
      </c>
      <c r="F17" s="55">
        <f t="shared" si="0"/>
        <v>154.17000000000007</v>
      </c>
      <c r="G17" s="20"/>
      <c r="I17" s="55"/>
    </row>
    <row r="18" spans="2:9" ht="20.100000000000001" customHeight="1" x14ac:dyDescent="0.25">
      <c r="B18" s="1" t="s">
        <v>200</v>
      </c>
      <c r="D18" s="55">
        <f>+'Cédula Nota 1'!D14</f>
        <v>578787.69000000006</v>
      </c>
      <c r="E18" s="55">
        <v>569000</v>
      </c>
      <c r="F18" s="55">
        <f t="shared" si="0"/>
        <v>9787.6900000000605</v>
      </c>
      <c r="G18" s="20"/>
      <c r="H18" s="20"/>
      <c r="I18" s="55"/>
    </row>
    <row r="19" spans="2:9" ht="20.100000000000001" customHeight="1" x14ac:dyDescent="0.25">
      <c r="C19" s="358" t="s">
        <v>799</v>
      </c>
      <c r="D19" s="55"/>
      <c r="E19" s="55"/>
      <c r="F19" s="55"/>
      <c r="I19" s="55"/>
    </row>
    <row r="20" spans="2:9" ht="20.100000000000001" customHeight="1" x14ac:dyDescent="0.25">
      <c r="B20" s="16" t="s">
        <v>94</v>
      </c>
      <c r="C20" s="53" t="s">
        <v>9</v>
      </c>
      <c r="D20" s="56">
        <f>SUM(D13:D18)</f>
        <v>282788158.46000004</v>
      </c>
      <c r="E20" s="56">
        <f>SUM(E13:E18)</f>
        <v>352369038.04999995</v>
      </c>
      <c r="F20" s="56">
        <f>SUM(F13:F18)</f>
        <v>-69580879.589999944</v>
      </c>
      <c r="I20" s="2"/>
    </row>
    <row r="21" spans="2:9" ht="20.100000000000001" customHeight="1" x14ac:dyDescent="0.25">
      <c r="C21" s="19" t="s">
        <v>9</v>
      </c>
      <c r="D21" s="55"/>
      <c r="E21" s="55"/>
      <c r="F21" s="55"/>
    </row>
    <row r="22" spans="2:9" ht="20.100000000000001" customHeight="1" x14ac:dyDescent="0.25">
      <c r="C22" s="19" t="s">
        <v>9</v>
      </c>
      <c r="D22" s="55"/>
      <c r="E22" s="55"/>
      <c r="F22" s="55"/>
    </row>
    <row r="23" spans="2:9" ht="24.75" customHeight="1" x14ac:dyDescent="0.25">
      <c r="B23" s="16" t="s">
        <v>219</v>
      </c>
      <c r="C23" s="53">
        <v>2</v>
      </c>
      <c r="D23" s="1"/>
      <c r="E23" s="1"/>
      <c r="F23" s="1"/>
      <c r="I23" s="2"/>
    </row>
    <row r="24" spans="2:9" ht="20.100000000000001" customHeight="1" x14ac:dyDescent="0.25">
      <c r="B24" s="1" t="s">
        <v>492</v>
      </c>
      <c r="C24" s="19" t="s">
        <v>9</v>
      </c>
      <c r="D24" s="55">
        <f>+'Cédula Nota 2 '!E13</f>
        <v>2424135236.6799998</v>
      </c>
      <c r="E24" s="55">
        <v>1906394949.6500001</v>
      </c>
      <c r="F24" s="55">
        <f>D24-E24</f>
        <v>517740287.02999973</v>
      </c>
    </row>
    <row r="25" spans="2:9" ht="20.100000000000001" hidden="1" customHeight="1" x14ac:dyDescent="0.25">
      <c r="B25" s="1" t="s">
        <v>526</v>
      </c>
      <c r="D25" s="55" t="e">
        <f>+'Cédula Nota 2 '!C13</f>
        <v>#REF!</v>
      </c>
      <c r="E25" s="55">
        <v>0</v>
      </c>
      <c r="F25" s="55" t="e">
        <f>D25-E25</f>
        <v>#REF!</v>
      </c>
      <c r="H25" s="20"/>
    </row>
    <row r="26" spans="2:9" ht="20.100000000000001" hidden="1" customHeight="1" x14ac:dyDescent="0.25">
      <c r="B26" s="1" t="s">
        <v>527</v>
      </c>
      <c r="C26" s="19" t="s">
        <v>9</v>
      </c>
      <c r="D26" s="55">
        <v>0</v>
      </c>
      <c r="E26" s="55">
        <v>0</v>
      </c>
      <c r="F26" s="55">
        <f>D26-E26</f>
        <v>0</v>
      </c>
    </row>
    <row r="27" spans="2:9" ht="20.100000000000001" customHeight="1" x14ac:dyDescent="0.25">
      <c r="C27" s="358" t="s">
        <v>799</v>
      </c>
      <c r="D27" s="55"/>
      <c r="E27" s="55"/>
      <c r="F27" s="55"/>
    </row>
    <row r="28" spans="2:9" ht="20.100000000000001" customHeight="1" x14ac:dyDescent="0.25">
      <c r="B28" s="16" t="s">
        <v>217</v>
      </c>
      <c r="C28" s="53" t="s">
        <v>9</v>
      </c>
      <c r="D28" s="56">
        <f>+D24</f>
        <v>2424135236.6799998</v>
      </c>
      <c r="E28" s="56">
        <f>SUM(E24:E27)</f>
        <v>1906394949.6500001</v>
      </c>
      <c r="F28" s="56">
        <f>+D28-E28</f>
        <v>517740287.02999973</v>
      </c>
      <c r="I28" s="2"/>
    </row>
    <row r="29" spans="2:9" ht="20.100000000000001" customHeight="1" x14ac:dyDescent="0.25">
      <c r="C29" s="19" t="s">
        <v>9</v>
      </c>
      <c r="D29" s="55"/>
      <c r="E29" s="55"/>
      <c r="F29" s="55"/>
    </row>
    <row r="30" spans="2:9" ht="20.100000000000001" customHeight="1" x14ac:dyDescent="0.25">
      <c r="C30" s="19" t="s">
        <v>9</v>
      </c>
      <c r="D30" s="420"/>
      <c r="E30" s="55"/>
      <c r="F30" s="55"/>
    </row>
    <row r="31" spans="2:9" ht="24.75" customHeight="1" x14ac:dyDescent="0.25">
      <c r="B31" s="16" t="s">
        <v>220</v>
      </c>
      <c r="C31" s="53">
        <v>3</v>
      </c>
      <c r="D31" s="1"/>
      <c r="E31" s="1"/>
      <c r="F31" s="1"/>
      <c r="I31" s="2"/>
    </row>
    <row r="32" spans="2:9" ht="20.100000000000001" hidden="1" customHeight="1" x14ac:dyDescent="0.25">
      <c r="B32" s="1" t="s">
        <v>528</v>
      </c>
      <c r="C32" s="19" t="s">
        <v>9</v>
      </c>
      <c r="D32" s="55">
        <v>0</v>
      </c>
      <c r="E32" s="55">
        <v>0</v>
      </c>
      <c r="F32" s="55">
        <f t="shared" ref="F32:F37" si="1">D32-E32</f>
        <v>0</v>
      </c>
    </row>
    <row r="33" spans="2:9" ht="19.5" customHeight="1" x14ac:dyDescent="0.25">
      <c r="B33" s="1" t="s">
        <v>201</v>
      </c>
      <c r="C33" s="19" t="s">
        <v>9</v>
      </c>
      <c r="D33" s="55">
        <f>+'Nota 3 Resumen'!C9</f>
        <v>10067438.039999999</v>
      </c>
      <c r="E33" s="55">
        <v>10067438.039999999</v>
      </c>
      <c r="F33" s="55">
        <f t="shared" si="1"/>
        <v>0</v>
      </c>
    </row>
    <row r="34" spans="2:9" ht="20.100000000000001" customHeight="1" x14ac:dyDescent="0.25">
      <c r="B34" s="1" t="s">
        <v>47</v>
      </c>
      <c r="C34" s="19" t="s">
        <v>9</v>
      </c>
      <c r="D34" s="55">
        <f>+'Nota 3 Resumen'!C10</f>
        <v>15663680.539999999</v>
      </c>
      <c r="E34" s="55">
        <v>15663680.539999999</v>
      </c>
      <c r="F34" s="55">
        <f t="shared" si="1"/>
        <v>0</v>
      </c>
    </row>
    <row r="35" spans="2:9" ht="20.100000000000001" customHeight="1" x14ac:dyDescent="0.25">
      <c r="B35" s="1" t="s">
        <v>525</v>
      </c>
      <c r="D35" s="55">
        <f>+'NOTA 3-Intereses'!C11</f>
        <v>0</v>
      </c>
      <c r="E35" s="55">
        <v>8926.44</v>
      </c>
      <c r="F35" s="55">
        <f t="shared" si="1"/>
        <v>-8926.44</v>
      </c>
      <c r="G35" s="20"/>
    </row>
    <row r="36" spans="2:9" ht="20.100000000000001" customHeight="1" x14ac:dyDescent="0.25">
      <c r="B36" s="1" t="s">
        <v>280</v>
      </c>
      <c r="D36" s="55">
        <f>+'Nota 3 Resumen'!C12</f>
        <v>23638.5</v>
      </c>
      <c r="E36" s="55">
        <v>31518</v>
      </c>
      <c r="F36" s="55">
        <f t="shared" si="1"/>
        <v>-7879.5</v>
      </c>
    </row>
    <row r="37" spans="2:9" ht="20.100000000000001" customHeight="1" x14ac:dyDescent="0.25">
      <c r="B37" s="1" t="s">
        <v>95</v>
      </c>
      <c r="C37" s="19" t="s">
        <v>9</v>
      </c>
      <c r="D37" s="55">
        <f>+'Nota 3 Resumen'!C13</f>
        <v>272971.88</v>
      </c>
      <c r="E37" s="55">
        <v>241997.76</v>
      </c>
      <c r="F37" s="55">
        <f t="shared" si="1"/>
        <v>30974.119999999995</v>
      </c>
    </row>
    <row r="38" spans="2:9" ht="20.100000000000001" customHeight="1" x14ac:dyDescent="0.25">
      <c r="C38" s="358" t="s">
        <v>799</v>
      </c>
      <c r="D38" s="55"/>
      <c r="E38" s="55"/>
      <c r="F38" s="55"/>
    </row>
    <row r="39" spans="2:9" ht="20.100000000000001" customHeight="1" x14ac:dyDescent="0.25">
      <c r="B39" s="16" t="s">
        <v>101</v>
      </c>
      <c r="C39" s="53" t="s">
        <v>9</v>
      </c>
      <c r="D39" s="56">
        <f>SUM(D32:D37)</f>
        <v>26027728.959999997</v>
      </c>
      <c r="E39" s="54">
        <f>SUM(E32:E37)</f>
        <v>26013560.780000001</v>
      </c>
      <c r="F39" s="56">
        <f>SUM(F32:F37)</f>
        <v>14168.179999999993</v>
      </c>
      <c r="I39" s="2"/>
    </row>
    <row r="40" spans="2:9" ht="20.100000000000001" customHeight="1" x14ac:dyDescent="0.25">
      <c r="C40" s="19" t="s">
        <v>9</v>
      </c>
      <c r="D40" s="55"/>
      <c r="E40" s="55"/>
      <c r="F40" s="55"/>
    </row>
    <row r="41" spans="2:9" ht="20.100000000000001" customHeight="1" x14ac:dyDescent="0.25">
      <c r="C41" s="19" t="s">
        <v>9</v>
      </c>
      <c r="D41" s="55"/>
      <c r="E41" s="55"/>
      <c r="F41" s="55"/>
    </row>
    <row r="42" spans="2:9" ht="24.75" customHeight="1" x14ac:dyDescent="0.25">
      <c r="B42" s="16" t="s">
        <v>666</v>
      </c>
      <c r="C42" s="53">
        <v>4</v>
      </c>
      <c r="D42" s="1"/>
      <c r="E42" s="1"/>
      <c r="F42" s="1"/>
      <c r="I42" s="2"/>
    </row>
    <row r="43" spans="2:9" ht="20.100000000000001" customHeight="1" x14ac:dyDescent="0.25">
      <c r="B43" s="1" t="s">
        <v>599</v>
      </c>
      <c r="C43" s="53"/>
      <c r="D43" s="55">
        <f>+'NOTA 4  INVENTARIO'!C16</f>
        <v>2330956.6199999996</v>
      </c>
      <c r="E43" s="55">
        <v>2832859.46</v>
      </c>
      <c r="F43" s="55">
        <f>D43-E43</f>
        <v>-501902.84000000032</v>
      </c>
    </row>
    <row r="44" spans="2:9" ht="20.100000000000001" customHeight="1" x14ac:dyDescent="0.25">
      <c r="B44" s="1" t="s">
        <v>600</v>
      </c>
      <c r="C44" s="53"/>
      <c r="D44" s="55">
        <f>+'NOTA 4  INVENTARIO'!C25</f>
        <v>924074.62999999989</v>
      </c>
      <c r="E44" s="55">
        <v>872407.8</v>
      </c>
      <c r="F44" s="55">
        <f>D44-E44</f>
        <v>51666.829999999842</v>
      </c>
    </row>
    <row r="45" spans="2:9" ht="20.100000000000001" customHeight="1" x14ac:dyDescent="0.25">
      <c r="C45" s="358" t="s">
        <v>799</v>
      </c>
      <c r="D45" s="55"/>
      <c r="E45" s="55"/>
      <c r="F45" s="55"/>
    </row>
    <row r="46" spans="2:9" ht="20.100000000000001" customHeight="1" x14ac:dyDescent="0.25">
      <c r="B46" s="16" t="s">
        <v>665</v>
      </c>
      <c r="C46" s="53" t="s">
        <v>9</v>
      </c>
      <c r="D46" s="56">
        <f>SUM(D43:D45)</f>
        <v>3255031.2499999995</v>
      </c>
      <c r="E46" s="56">
        <f>SUM(E43:E45)</f>
        <v>3705267.26</v>
      </c>
      <c r="F46" s="56">
        <f>SUM(F43:F45)</f>
        <v>-450236.01000000047</v>
      </c>
      <c r="I46" s="2"/>
    </row>
    <row r="47" spans="2:9" ht="20.100000000000001" customHeight="1" x14ac:dyDescent="0.25">
      <c r="C47" s="359"/>
      <c r="D47" s="55"/>
      <c r="E47" s="55"/>
      <c r="F47" s="55"/>
    </row>
    <row r="48" spans="2:9" ht="20.100000000000001" customHeight="1" x14ac:dyDescent="0.25">
      <c r="C48" s="359"/>
      <c r="D48" s="55"/>
      <c r="E48" s="55"/>
      <c r="F48" s="55"/>
    </row>
    <row r="49" spans="2:11" ht="24.75" customHeight="1" x14ac:dyDescent="0.25">
      <c r="B49" s="16" t="s">
        <v>664</v>
      </c>
      <c r="C49" s="53">
        <v>5</v>
      </c>
      <c r="D49" s="1"/>
      <c r="E49" s="1"/>
      <c r="F49" s="1"/>
      <c r="I49" s="2"/>
    </row>
    <row r="50" spans="2:11" ht="20.100000000000001" customHeight="1" x14ac:dyDescent="0.25">
      <c r="B50" s="1" t="s">
        <v>605</v>
      </c>
      <c r="D50" s="55">
        <f>+'NOTA 5  GPA'!C9</f>
        <v>244702.66000000003</v>
      </c>
      <c r="E50" s="55">
        <v>326270.20000000007</v>
      </c>
      <c r="F50" s="55">
        <f>D50-E50</f>
        <v>-81567.540000000037</v>
      </c>
    </row>
    <row r="51" spans="2:11" ht="20.100000000000001" customHeight="1" x14ac:dyDescent="0.25">
      <c r="B51" s="1" t="s">
        <v>451</v>
      </c>
      <c r="D51" s="55">
        <f>+'NOTA 5  GPA'!C10+'NOTA 5  GPA'!C11+'NOTA 5  GPA'!C12</f>
        <v>1938250.0283333333</v>
      </c>
      <c r="E51" s="55">
        <v>1354499.9924999999</v>
      </c>
      <c r="F51" s="55">
        <f>D51-E51</f>
        <v>583750.03583333339</v>
      </c>
    </row>
    <row r="52" spans="2:11" ht="20.100000000000001" customHeight="1" x14ac:dyDescent="0.25">
      <c r="C52" s="358" t="s">
        <v>799</v>
      </c>
      <c r="D52" s="55"/>
      <c r="E52" s="55"/>
      <c r="F52" s="55"/>
    </row>
    <row r="53" spans="2:11" ht="20.100000000000001" customHeight="1" x14ac:dyDescent="0.25">
      <c r="B53" s="16" t="s">
        <v>663</v>
      </c>
      <c r="C53" s="53" t="s">
        <v>9</v>
      </c>
      <c r="D53" s="56">
        <f>SUM(D50:D51)</f>
        <v>2182952.6883333335</v>
      </c>
      <c r="E53" s="56">
        <f>SUM(E50:E51)</f>
        <v>1680770.1924999999</v>
      </c>
      <c r="F53" s="56">
        <f>SUM(F50:F51)</f>
        <v>502182.49583333335</v>
      </c>
      <c r="I53" s="2"/>
    </row>
    <row r="54" spans="2:11" ht="20.100000000000001" customHeight="1" x14ac:dyDescent="0.25">
      <c r="C54" s="19" t="s">
        <v>9</v>
      </c>
      <c r="D54" s="55"/>
      <c r="E54" s="55"/>
      <c r="F54" s="55"/>
    </row>
    <row r="55" spans="2:11" ht="20.100000000000001" customHeight="1" x14ac:dyDescent="0.25">
      <c r="D55" s="55"/>
      <c r="E55" s="55"/>
      <c r="F55" s="55"/>
    </row>
    <row r="56" spans="2:11" ht="20.100000000000001" customHeight="1" x14ac:dyDescent="0.25">
      <c r="B56" s="16" t="s">
        <v>221</v>
      </c>
      <c r="C56" s="53">
        <v>6</v>
      </c>
      <c r="D56" s="1"/>
      <c r="E56" s="1"/>
      <c r="F56" s="1"/>
      <c r="I56" s="2"/>
    </row>
    <row r="57" spans="2:11" ht="20.100000000000001" customHeight="1" x14ac:dyDescent="0.25">
      <c r="B57" s="1" t="s">
        <v>456</v>
      </c>
      <c r="C57" s="53"/>
      <c r="D57" s="55">
        <v>695349700</v>
      </c>
      <c r="E57" s="55">
        <v>695349700</v>
      </c>
      <c r="F57" s="55">
        <f>+D57-E57</f>
        <v>0</v>
      </c>
    </row>
    <row r="58" spans="2:11" ht="20.100000000000001" customHeight="1" x14ac:dyDescent="0.25">
      <c r="B58" s="1" t="s">
        <v>224</v>
      </c>
      <c r="C58" s="360"/>
      <c r="D58" s="55">
        <f>+-309771035.29+-49893711.42</f>
        <v>-359664746.71000004</v>
      </c>
      <c r="E58" s="55">
        <v>-359664746.71000004</v>
      </c>
      <c r="F58" s="55">
        <f>+D58-E58</f>
        <v>0</v>
      </c>
    </row>
    <row r="59" spans="2:11" ht="20.100000000000001" customHeight="1" x14ac:dyDescent="0.25">
      <c r="B59" s="1" t="s">
        <v>225</v>
      </c>
      <c r="C59" s="361"/>
      <c r="D59" s="362">
        <v>34767485</v>
      </c>
      <c r="E59" s="362">
        <v>34767485</v>
      </c>
      <c r="F59" s="362">
        <f>+D59-E59</f>
        <v>0</v>
      </c>
    </row>
    <row r="60" spans="2:11" ht="24.75" customHeight="1" x14ac:dyDescent="0.25">
      <c r="B60" s="16" t="s">
        <v>457</v>
      </c>
      <c r="C60" s="53"/>
      <c r="D60" s="56">
        <f>SUM(D57:D59)</f>
        <v>370452438.28999996</v>
      </c>
      <c r="E60" s="56">
        <f>SUM(E57:E59)</f>
        <v>370452438.28999996</v>
      </c>
      <c r="F60" s="56">
        <f>SUM(F57:F59)</f>
        <v>0</v>
      </c>
      <c r="I60" s="2"/>
    </row>
    <row r="61" spans="2:11" ht="20.100000000000001" customHeight="1" x14ac:dyDescent="0.25">
      <c r="B61" s="363"/>
      <c r="C61" s="53"/>
      <c r="D61" s="54"/>
      <c r="E61" s="54"/>
      <c r="F61" s="54"/>
    </row>
    <row r="62" spans="2:11" ht="20.100000000000001" customHeight="1" x14ac:dyDescent="0.25">
      <c r="C62" s="53"/>
      <c r="D62" s="55"/>
      <c r="E62" s="55"/>
      <c r="F62" s="55"/>
    </row>
    <row r="63" spans="2:11" ht="20.100000000000001" customHeight="1" x14ac:dyDescent="0.25">
      <c r="B63" s="1" t="s">
        <v>223</v>
      </c>
      <c r="C63" s="19" t="s">
        <v>9</v>
      </c>
      <c r="D63" s="55">
        <v>2816310100</v>
      </c>
      <c r="E63" s="55">
        <v>2816310100</v>
      </c>
      <c r="F63" s="55">
        <f>+D63-E63</f>
        <v>0</v>
      </c>
      <c r="I63" s="19"/>
      <c r="J63" s="55"/>
      <c r="K63" s="55"/>
    </row>
    <row r="64" spans="2:11" ht="20.100000000000001" customHeight="1" x14ac:dyDescent="0.25">
      <c r="B64" s="1" t="s">
        <v>224</v>
      </c>
      <c r="D64" s="55">
        <f>1090699050.19+93969710.48-855323754-30626607.28-657720566.93</f>
        <v>-359002167.53999984</v>
      </c>
      <c r="E64" s="55">
        <v>298718399.3900001</v>
      </c>
      <c r="F64" s="55">
        <f>+D64-E64</f>
        <v>-657720566.92999995</v>
      </c>
      <c r="I64" s="19"/>
      <c r="J64" s="55"/>
      <c r="K64" s="55"/>
    </row>
    <row r="65" spans="2:11" ht="20.100000000000001" customHeight="1" x14ac:dyDescent="0.25">
      <c r="B65" s="1" t="s">
        <v>225</v>
      </c>
      <c r="C65" s="364"/>
      <c r="D65" s="362">
        <v>281631010.64999998</v>
      </c>
      <c r="E65" s="362">
        <v>281631010.64999998</v>
      </c>
      <c r="F65" s="362">
        <f>+D65-E65</f>
        <v>0</v>
      </c>
      <c r="I65" s="19"/>
      <c r="J65" s="55"/>
      <c r="K65" s="55"/>
    </row>
    <row r="66" spans="2:11" ht="20.100000000000001" customHeight="1" x14ac:dyDescent="0.25">
      <c r="B66" s="16" t="s">
        <v>222</v>
      </c>
      <c r="C66" s="53"/>
      <c r="D66" s="56">
        <f>SUM(D63:D65)</f>
        <v>2738938943.1100001</v>
      </c>
      <c r="E66" s="56">
        <f>SUM(E63:E65)</f>
        <v>3396659510.0400004</v>
      </c>
      <c r="F66" s="56">
        <f>SUM(F63:F65)</f>
        <v>-657720566.92999995</v>
      </c>
      <c r="H66" s="2"/>
      <c r="I66" s="2"/>
    </row>
    <row r="67" spans="2:11" ht="20.100000000000001" customHeight="1" x14ac:dyDescent="0.25">
      <c r="D67" s="55"/>
      <c r="E67" s="55"/>
      <c r="F67" s="55"/>
      <c r="I67" s="19"/>
      <c r="J67" s="55"/>
      <c r="K67" s="55"/>
    </row>
    <row r="68" spans="2:11" ht="20.100000000000001" customHeight="1" x14ac:dyDescent="0.25">
      <c r="D68" s="55"/>
      <c r="E68" s="55"/>
      <c r="F68" s="55"/>
      <c r="I68" s="19"/>
      <c r="J68" s="55"/>
      <c r="K68" s="55"/>
    </row>
    <row r="69" spans="2:11" ht="20.100000000000001" customHeight="1" x14ac:dyDescent="0.25">
      <c r="B69" s="1" t="s">
        <v>202</v>
      </c>
      <c r="D69" s="55">
        <v>251919000</v>
      </c>
      <c r="E69" s="55">
        <v>251919000</v>
      </c>
      <c r="F69" s="55">
        <f>+D69-E69</f>
        <v>0</v>
      </c>
      <c r="I69" s="19"/>
      <c r="J69" s="55"/>
      <c r="K69" s="55"/>
    </row>
    <row r="70" spans="2:11" ht="20.100000000000001" customHeight="1" x14ac:dyDescent="0.25">
      <c r="B70" s="1" t="s">
        <v>224</v>
      </c>
      <c r="D70" s="55">
        <v>1369205316.1700001</v>
      </c>
      <c r="E70" s="55">
        <v>1369205316.1700001</v>
      </c>
      <c r="F70" s="55">
        <f>+D70-E70</f>
        <v>0</v>
      </c>
      <c r="I70" s="19"/>
      <c r="J70" s="55"/>
      <c r="K70" s="55"/>
    </row>
    <row r="71" spans="2:11" ht="20.100000000000001" customHeight="1" x14ac:dyDescent="0.25">
      <c r="B71" s="1" t="s">
        <v>225</v>
      </c>
      <c r="C71" s="364"/>
      <c r="D71" s="362">
        <v>25191900</v>
      </c>
      <c r="E71" s="362">
        <v>25191900</v>
      </c>
      <c r="F71" s="362">
        <f>+D71-E71</f>
        <v>0</v>
      </c>
      <c r="H71" s="20"/>
      <c r="I71" s="19"/>
      <c r="J71" s="55"/>
      <c r="K71" s="55"/>
    </row>
    <row r="72" spans="2:11" ht="20.100000000000001" customHeight="1" x14ac:dyDescent="0.25">
      <c r="B72" s="16" t="s">
        <v>226</v>
      </c>
      <c r="C72" s="53"/>
      <c r="D72" s="56">
        <f>SUM(D69:D71)</f>
        <v>1646316216.1700001</v>
      </c>
      <c r="E72" s="56">
        <f>SUM(E69:E71)</f>
        <v>1646316216.1700001</v>
      </c>
      <c r="F72" s="56">
        <f>SUM(F69:F71)</f>
        <v>0</v>
      </c>
      <c r="I72" s="2"/>
    </row>
    <row r="73" spans="2:11" ht="20.100000000000001" customHeight="1" x14ac:dyDescent="0.25">
      <c r="D73" s="55"/>
      <c r="E73" s="55"/>
      <c r="F73" s="55"/>
      <c r="I73" s="19"/>
      <c r="J73" s="55"/>
      <c r="K73" s="55"/>
    </row>
    <row r="74" spans="2:11" ht="20.100000000000001" customHeight="1" x14ac:dyDescent="0.25">
      <c r="D74" s="55"/>
      <c r="E74" s="55"/>
      <c r="F74" s="55"/>
      <c r="I74" s="19"/>
      <c r="J74" s="55"/>
      <c r="K74" s="55"/>
    </row>
    <row r="75" spans="2:11" ht="20.100000000000001" customHeight="1" x14ac:dyDescent="0.25">
      <c r="B75" s="1" t="s">
        <v>227</v>
      </c>
      <c r="D75" s="55">
        <v>2297250000</v>
      </c>
      <c r="E75" s="55">
        <v>2297250000</v>
      </c>
      <c r="F75" s="55">
        <f t="shared" ref="F75:F87" si="2">D75-E75</f>
        <v>0</v>
      </c>
      <c r="H75" s="433"/>
      <c r="I75" s="19"/>
      <c r="J75" s="55"/>
      <c r="K75" s="55"/>
    </row>
    <row r="76" spans="2:11" ht="20.100000000000001" customHeight="1" x14ac:dyDescent="0.25">
      <c r="B76" s="1" t="s">
        <v>224</v>
      </c>
      <c r="D76" s="55">
        <v>5372567137.710001</v>
      </c>
      <c r="E76" s="55">
        <v>5372567137.710001</v>
      </c>
      <c r="F76" s="55">
        <f t="shared" si="2"/>
        <v>0</v>
      </c>
      <c r="I76" s="19"/>
      <c r="J76" s="55"/>
      <c r="K76" s="55"/>
    </row>
    <row r="77" spans="2:11" ht="20.100000000000001" customHeight="1" x14ac:dyDescent="0.25">
      <c r="B77" s="1" t="s">
        <v>225</v>
      </c>
      <c r="C77" s="364"/>
      <c r="D77" s="362">
        <v>229725000.47999999</v>
      </c>
      <c r="E77" s="362">
        <v>229725000.47999999</v>
      </c>
      <c r="F77" s="362">
        <f t="shared" si="2"/>
        <v>0</v>
      </c>
      <c r="I77" s="19"/>
      <c r="J77" s="55"/>
      <c r="K77" s="55"/>
    </row>
    <row r="78" spans="2:11" ht="20.100000000000001" customHeight="1" x14ac:dyDescent="0.25">
      <c r="B78" s="16" t="s">
        <v>228</v>
      </c>
      <c r="C78" s="53"/>
      <c r="D78" s="56">
        <f>SUM(D75:D77)</f>
        <v>7899542138.1900005</v>
      </c>
      <c r="E78" s="56">
        <f>SUM(E75:E77)</f>
        <v>7899542138.1900005</v>
      </c>
      <c r="F78" s="56">
        <f>SUM(F75:F77)</f>
        <v>0</v>
      </c>
      <c r="H78" s="20"/>
      <c r="I78" s="2"/>
    </row>
    <row r="79" spans="2:11" ht="20.100000000000001" customHeight="1" x14ac:dyDescent="0.25">
      <c r="B79" s="363"/>
      <c r="D79" s="54"/>
      <c r="E79" s="54"/>
      <c r="F79" s="54"/>
      <c r="I79" s="19"/>
      <c r="J79" s="55"/>
      <c r="K79" s="55"/>
    </row>
    <row r="80" spans="2:11" ht="20.100000000000001" customHeight="1" x14ac:dyDescent="0.25">
      <c r="D80" s="55"/>
      <c r="E80" s="55"/>
      <c r="F80" s="55"/>
      <c r="I80" s="19"/>
      <c r="J80" s="55"/>
      <c r="K80" s="55"/>
    </row>
    <row r="81" spans="2:11" ht="20.100000000000001" customHeight="1" x14ac:dyDescent="0.25">
      <c r="B81" s="1" t="s">
        <v>229</v>
      </c>
      <c r="D81" s="365">
        <v>3240339500</v>
      </c>
      <c r="E81" s="55">
        <v>3240339500</v>
      </c>
      <c r="F81" s="55">
        <f t="shared" si="2"/>
        <v>0</v>
      </c>
      <c r="I81" s="19"/>
      <c r="J81" s="55"/>
      <c r="K81" s="55"/>
    </row>
    <row r="82" spans="2:11" ht="20.100000000000001" customHeight="1" x14ac:dyDescent="0.25">
      <c r="B82" s="1" t="s">
        <v>224</v>
      </c>
      <c r="D82" s="362">
        <v>-3240339500</v>
      </c>
      <c r="E82" s="362">
        <v>-3240339500</v>
      </c>
      <c r="F82" s="362">
        <f t="shared" si="2"/>
        <v>0</v>
      </c>
      <c r="I82" s="19"/>
      <c r="J82" s="55"/>
      <c r="K82" s="55"/>
    </row>
    <row r="83" spans="2:11" ht="24.75" customHeight="1" x14ac:dyDescent="0.25">
      <c r="B83" s="16" t="s">
        <v>230</v>
      </c>
      <c r="C83" s="53"/>
      <c r="D83" s="56">
        <f>SUM(D81:D82)</f>
        <v>0</v>
      </c>
      <c r="E83" s="56">
        <f>SUM(E81:E82)</f>
        <v>0</v>
      </c>
      <c r="F83" s="56">
        <f>SUM(F81:F82)</f>
        <v>0</v>
      </c>
      <c r="I83" s="2"/>
    </row>
    <row r="84" spans="2:11" ht="20.100000000000001" customHeight="1" x14ac:dyDescent="0.25">
      <c r="D84" s="55"/>
      <c r="E84" s="55"/>
      <c r="F84" s="55"/>
      <c r="I84" s="19"/>
      <c r="J84" s="55"/>
      <c r="K84" s="55"/>
    </row>
    <row r="85" spans="2:11" ht="20.100000000000001" customHeight="1" x14ac:dyDescent="0.25">
      <c r="D85" s="55"/>
      <c r="E85" s="55"/>
      <c r="F85" s="55"/>
      <c r="I85" s="19"/>
      <c r="J85" s="55"/>
      <c r="K85" s="55"/>
    </row>
    <row r="86" spans="2:11" ht="20.100000000000001" customHeight="1" x14ac:dyDescent="0.25">
      <c r="B86" s="1" t="s">
        <v>203</v>
      </c>
      <c r="D86" s="365">
        <v>3475097800</v>
      </c>
      <c r="E86" s="55">
        <v>3475097800</v>
      </c>
      <c r="F86" s="55">
        <f t="shared" si="2"/>
        <v>0</v>
      </c>
      <c r="I86" s="19"/>
      <c r="J86" s="55"/>
      <c r="K86" s="55"/>
    </row>
    <row r="87" spans="2:11" ht="20.100000000000001" customHeight="1" x14ac:dyDescent="0.25">
      <c r="B87" s="1" t="s">
        <v>224</v>
      </c>
      <c r="D87" s="362">
        <v>-3475097800</v>
      </c>
      <c r="E87" s="362">
        <v>-3475097800</v>
      </c>
      <c r="F87" s="362">
        <f t="shared" si="2"/>
        <v>0</v>
      </c>
      <c r="I87" s="19"/>
      <c r="J87" s="55"/>
      <c r="K87" s="55"/>
    </row>
    <row r="88" spans="2:11" ht="20.100000000000001" customHeight="1" x14ac:dyDescent="0.25">
      <c r="B88" s="16" t="s">
        <v>231</v>
      </c>
      <c r="C88" s="53"/>
      <c r="D88" s="56">
        <f>SUM(D86:D87)</f>
        <v>0</v>
      </c>
      <c r="E88" s="56">
        <f>SUM(E86:E87)</f>
        <v>0</v>
      </c>
      <c r="F88" s="56">
        <f>SUM(F86:F87)</f>
        <v>0</v>
      </c>
      <c r="I88" s="2"/>
    </row>
    <row r="89" spans="2:11" ht="20.100000000000001" customHeight="1" x14ac:dyDescent="0.25">
      <c r="D89" s="55"/>
      <c r="E89" s="55"/>
      <c r="F89" s="55"/>
      <c r="I89" s="19"/>
      <c r="J89" s="55"/>
      <c r="K89" s="55"/>
    </row>
    <row r="90" spans="2:11" ht="20.100000000000001" customHeight="1" x14ac:dyDescent="0.25">
      <c r="D90" s="55"/>
      <c r="E90" s="55"/>
      <c r="F90" s="55"/>
      <c r="I90" s="19"/>
      <c r="J90" s="55"/>
      <c r="K90" s="55"/>
    </row>
    <row r="91" spans="2:11" ht="20.100000000000001" customHeight="1" x14ac:dyDescent="0.25">
      <c r="B91" s="1" t="s">
        <v>232</v>
      </c>
      <c r="D91" s="55">
        <v>3462816000</v>
      </c>
      <c r="E91" s="55">
        <v>3462816000</v>
      </c>
      <c r="F91" s="55">
        <f>D91-E91</f>
        <v>0</v>
      </c>
      <c r="I91" s="19"/>
      <c r="J91" s="55"/>
      <c r="K91" s="55"/>
    </row>
    <row r="92" spans="2:11" ht="20.100000000000001" customHeight="1" x14ac:dyDescent="0.25">
      <c r="B92" s="1" t="s">
        <v>224</v>
      </c>
      <c r="D92" s="362">
        <v>-3462816000</v>
      </c>
      <c r="E92" s="362">
        <v>-3462816000</v>
      </c>
      <c r="F92" s="362">
        <f>D92-E92</f>
        <v>0</v>
      </c>
      <c r="I92" s="19"/>
      <c r="J92" s="55"/>
      <c r="K92" s="55"/>
    </row>
    <row r="93" spans="2:11" ht="20.100000000000001" customHeight="1" x14ac:dyDescent="0.25">
      <c r="B93" s="16" t="s">
        <v>233</v>
      </c>
      <c r="C93" s="53"/>
      <c r="D93" s="56">
        <f>SUM(D91:D92)</f>
        <v>0</v>
      </c>
      <c r="E93" s="56">
        <f>SUM(E91:E92)</f>
        <v>0</v>
      </c>
      <c r="F93" s="56">
        <f>SUM(F91:F92)</f>
        <v>0</v>
      </c>
      <c r="I93" s="2"/>
    </row>
    <row r="94" spans="2:11" ht="20.100000000000001" customHeight="1" x14ac:dyDescent="0.25">
      <c r="B94" s="363"/>
      <c r="D94" s="54"/>
      <c r="E94" s="54"/>
      <c r="F94" s="54"/>
      <c r="H94" s="20"/>
      <c r="I94" s="58"/>
      <c r="J94" s="55"/>
      <c r="K94" s="55"/>
    </row>
    <row r="95" spans="2:11" ht="20.100000000000001" customHeight="1" x14ac:dyDescent="0.25">
      <c r="C95" s="358" t="s">
        <v>799</v>
      </c>
      <c r="D95" s="55"/>
      <c r="E95" s="55"/>
      <c r="F95" s="55"/>
      <c r="H95" s="20"/>
      <c r="I95" s="364"/>
      <c r="J95" s="55"/>
      <c r="K95" s="55"/>
    </row>
    <row r="96" spans="2:11" ht="20.100000000000001" customHeight="1" x14ac:dyDescent="0.25">
      <c r="B96" s="16" t="s">
        <v>102</v>
      </c>
      <c r="C96" s="53" t="s">
        <v>9</v>
      </c>
      <c r="D96" s="54">
        <f>+D60+D66+D72+D78+D83+D88+D93</f>
        <v>12655249735.76</v>
      </c>
      <c r="E96" s="56">
        <f>+E60+E66+E72+E78+E83+E88+E93</f>
        <v>13312970302.690001</v>
      </c>
      <c r="F96" s="56">
        <f>+F60+F66+F72+F78+F83+F88+F93</f>
        <v>-657720566.92999995</v>
      </c>
      <c r="I96" s="2"/>
    </row>
    <row r="97" spans="2:12" ht="20.100000000000001" customHeight="1" x14ac:dyDescent="0.25">
      <c r="B97" s="16"/>
      <c r="D97" s="469"/>
      <c r="E97" s="54"/>
      <c r="F97" s="54"/>
      <c r="H97" s="16"/>
      <c r="I97" s="19"/>
      <c r="J97" s="54"/>
      <c r="K97" s="54"/>
    </row>
    <row r="98" spans="2:12" ht="20.100000000000001" customHeight="1" x14ac:dyDescent="0.25">
      <c r="B98" s="58"/>
      <c r="C98" s="364"/>
      <c r="D98" s="54"/>
      <c r="E98" s="54"/>
      <c r="F98" s="54"/>
      <c r="H98" s="16"/>
      <c r="I98" s="19"/>
      <c r="J98" s="54"/>
      <c r="K98" s="54"/>
    </row>
    <row r="99" spans="2:12" ht="24.75" customHeight="1" x14ac:dyDescent="0.25">
      <c r="B99" s="16" t="s">
        <v>698</v>
      </c>
      <c r="C99" s="53">
        <v>7</v>
      </c>
      <c r="D99" s="1"/>
      <c r="E99" s="1"/>
      <c r="F99" s="1"/>
      <c r="H99" s="33"/>
      <c r="I99" s="2"/>
    </row>
    <row r="100" spans="2:12" ht="20.100000000000001" customHeight="1" x14ac:dyDescent="0.25">
      <c r="B100" s="1" t="s">
        <v>470</v>
      </c>
      <c r="D100" s="55">
        <v>311156800</v>
      </c>
      <c r="E100" s="55">
        <v>311156800</v>
      </c>
      <c r="F100" s="55">
        <f>D100-E100</f>
        <v>0</v>
      </c>
      <c r="H100" s="33"/>
    </row>
    <row r="101" spans="2:12" ht="20.100000000000001" customHeight="1" x14ac:dyDescent="0.25">
      <c r="B101" s="1" t="s">
        <v>71</v>
      </c>
      <c r="D101" s="55">
        <v>296750000</v>
      </c>
      <c r="E101" s="55">
        <v>296750000</v>
      </c>
      <c r="F101" s="55">
        <f t="shared" ref="F101:F102" si="3">D101-E101</f>
        <v>0</v>
      </c>
      <c r="H101" s="33"/>
    </row>
    <row r="102" spans="2:12" ht="20.100000000000001" customHeight="1" x14ac:dyDescent="0.25">
      <c r="B102" s="1" t="s">
        <v>72</v>
      </c>
      <c r="D102" s="55">
        <f>296750000+110000000</f>
        <v>406750000</v>
      </c>
      <c r="E102" s="55">
        <v>296750000</v>
      </c>
      <c r="F102" s="55">
        <f t="shared" si="3"/>
        <v>110000000</v>
      </c>
    </row>
    <row r="103" spans="2:12" ht="20.100000000000001" customHeight="1" x14ac:dyDescent="0.25">
      <c r="C103" s="358" t="s">
        <v>799</v>
      </c>
      <c r="D103" s="55"/>
      <c r="E103" s="55"/>
      <c r="F103" s="55"/>
    </row>
    <row r="104" spans="2:12" ht="20.100000000000001" customHeight="1" x14ac:dyDescent="0.25">
      <c r="B104" s="16" t="s">
        <v>675</v>
      </c>
      <c r="C104" s="53" t="s">
        <v>9</v>
      </c>
      <c r="D104" s="56">
        <f>SUM(D100:D102)</f>
        <v>1014656800</v>
      </c>
      <c r="E104" s="56">
        <f t="shared" ref="E104:F104" si="4">SUM(E100:E102)</f>
        <v>904656800</v>
      </c>
      <c r="F104" s="56">
        <f t="shared" si="4"/>
        <v>110000000</v>
      </c>
      <c r="I104" s="2"/>
    </row>
    <row r="105" spans="2:12" ht="20.100000000000001" customHeight="1" x14ac:dyDescent="0.25">
      <c r="B105" s="16"/>
      <c r="D105" s="54"/>
      <c r="E105" s="54"/>
      <c r="F105" s="54"/>
      <c r="I105" s="19"/>
      <c r="J105" s="54"/>
      <c r="K105" s="54"/>
    </row>
    <row r="106" spans="2:12" ht="20.100000000000001" customHeight="1" x14ac:dyDescent="0.25">
      <c r="B106" s="58"/>
      <c r="C106" s="364"/>
      <c r="D106" s="54"/>
      <c r="E106" s="54"/>
      <c r="F106" s="54"/>
      <c r="H106" s="16"/>
      <c r="I106" s="19"/>
      <c r="J106" s="54"/>
      <c r="K106" s="54"/>
    </row>
    <row r="107" spans="2:12" ht="24.75" customHeight="1" x14ac:dyDescent="0.25">
      <c r="B107" s="16" t="s">
        <v>833</v>
      </c>
      <c r="C107" s="53">
        <v>8</v>
      </c>
      <c r="D107" s="1"/>
      <c r="E107" s="1"/>
      <c r="F107" s="1"/>
      <c r="I107" s="2"/>
    </row>
    <row r="108" spans="2:12" ht="20.100000000000001" customHeight="1" x14ac:dyDescent="0.25">
      <c r="B108" s="1" t="s">
        <v>803</v>
      </c>
      <c r="D108" s="55">
        <f>+'NOTA 8-PROPIEDAD, PLANTA Y EQUI'!C12</f>
        <v>53342803.449999996</v>
      </c>
      <c r="E108" s="55">
        <v>53342803.449999996</v>
      </c>
      <c r="F108" s="55">
        <f>D108-E108</f>
        <v>0</v>
      </c>
      <c r="I108" s="19"/>
      <c r="J108" s="55"/>
      <c r="K108" s="55"/>
      <c r="L108" s="55"/>
    </row>
    <row r="109" spans="2:12" ht="20.100000000000001" customHeight="1" x14ac:dyDescent="0.25">
      <c r="B109" s="1" t="s">
        <v>234</v>
      </c>
      <c r="D109" s="55">
        <f>-'NOTA 8-PROPIEDAD, PLANTA Y EQUI'!C24</f>
        <v>-36212208.309999995</v>
      </c>
      <c r="E109" s="55">
        <v>-35696662.259999998</v>
      </c>
      <c r="F109" s="55">
        <f t="shared" ref="F109:F117" si="5">D109-E109</f>
        <v>-515546.04999999702</v>
      </c>
      <c r="I109" s="19"/>
      <c r="J109" s="55"/>
      <c r="K109" s="55"/>
      <c r="L109" s="55"/>
    </row>
    <row r="110" spans="2:12" ht="20.100000000000001" customHeight="1" x14ac:dyDescent="0.25">
      <c r="B110" s="1" t="s">
        <v>323</v>
      </c>
      <c r="C110" s="364"/>
      <c r="D110" s="55">
        <f>+'NOTA 8-PROPIEDAD, PLANTA Y EQUI'!D12</f>
        <v>1003826</v>
      </c>
      <c r="E110" s="55">
        <v>1003826</v>
      </c>
      <c r="F110" s="55">
        <f>D110-E110</f>
        <v>0</v>
      </c>
      <c r="I110" s="364"/>
      <c r="J110" s="55"/>
      <c r="K110" s="55"/>
      <c r="L110" s="55"/>
    </row>
    <row r="111" spans="2:12" ht="20.100000000000001" customHeight="1" x14ac:dyDescent="0.25">
      <c r="B111" s="1" t="s">
        <v>234</v>
      </c>
      <c r="C111" s="364"/>
      <c r="D111" s="55">
        <f>-'NOTA 8-PROPIEDAD, PLANTA Y EQUI'!D24</f>
        <v>-384800.35000000003</v>
      </c>
      <c r="E111" s="55">
        <v>-368069.9</v>
      </c>
      <c r="F111" s="55">
        <f>D111-E111</f>
        <v>-16730.450000000012</v>
      </c>
      <c r="H111" s="20"/>
      <c r="I111" s="364"/>
      <c r="J111" s="55"/>
      <c r="K111" s="55"/>
      <c r="L111" s="55"/>
    </row>
    <row r="112" spans="2:12" ht="20.100000000000001" customHeight="1" x14ac:dyDescent="0.25">
      <c r="B112" s="1" t="s">
        <v>338</v>
      </c>
      <c r="C112" s="364"/>
      <c r="D112" s="55">
        <f>+'NOTA 8-PROPIEDAD, PLANTA Y EQUI'!E12</f>
        <v>25682855.010000002</v>
      </c>
      <c r="E112" s="55">
        <v>25682855.010000002</v>
      </c>
      <c r="F112" s="55">
        <f t="shared" si="5"/>
        <v>0</v>
      </c>
      <c r="I112" s="364"/>
      <c r="J112" s="55"/>
      <c r="K112" s="55"/>
      <c r="L112" s="55"/>
    </row>
    <row r="113" spans="2:12" ht="20.100000000000001" customHeight="1" x14ac:dyDescent="0.25">
      <c r="B113" s="1" t="s">
        <v>234</v>
      </c>
      <c r="C113" s="364"/>
      <c r="D113" s="55">
        <f>-'NOTA 8-PROPIEDAD, PLANTA Y EQUI'!E24</f>
        <v>-20665369.27</v>
      </c>
      <c r="E113" s="55">
        <v>-20562971.609999999</v>
      </c>
      <c r="F113" s="55">
        <f t="shared" si="5"/>
        <v>-102397.66000000015</v>
      </c>
      <c r="I113" s="364"/>
      <c r="J113" s="55"/>
      <c r="K113" s="55"/>
      <c r="L113" s="55"/>
    </row>
    <row r="114" spans="2:12" ht="20.100000000000001" customHeight="1" x14ac:dyDescent="0.25">
      <c r="B114" s="1" t="s">
        <v>96</v>
      </c>
      <c r="C114" s="58"/>
      <c r="D114" s="55">
        <v>0</v>
      </c>
      <c r="E114" s="55">
        <v>0</v>
      </c>
      <c r="F114" s="55">
        <f t="shared" si="5"/>
        <v>0</v>
      </c>
      <c r="I114" s="58"/>
      <c r="J114" s="55"/>
      <c r="K114" s="55"/>
      <c r="L114" s="55"/>
    </row>
    <row r="115" spans="2:12" ht="20.100000000000001" customHeight="1" x14ac:dyDescent="0.25">
      <c r="B115" s="1" t="s">
        <v>234</v>
      </c>
      <c r="C115" s="364"/>
      <c r="D115" s="55">
        <f>-'NOTA 8-PROPIEDAD, PLANTA Y EQUI'!F24</f>
        <v>0</v>
      </c>
      <c r="E115" s="55">
        <v>0</v>
      </c>
      <c r="F115" s="55">
        <f t="shared" si="5"/>
        <v>0</v>
      </c>
      <c r="I115" s="364"/>
      <c r="J115" s="55"/>
      <c r="K115" s="55"/>
      <c r="L115" s="55"/>
    </row>
    <row r="116" spans="2:12" ht="20.100000000000001" customHeight="1" x14ac:dyDescent="0.25">
      <c r="B116" s="1" t="s">
        <v>97</v>
      </c>
      <c r="C116" s="19" t="s">
        <v>9</v>
      </c>
      <c r="D116" s="55">
        <f>+'[1]NOTA 8-PROPIEDAD, PLANTA Y EQUI'!I16</f>
        <v>5881555.6499999994</v>
      </c>
      <c r="E116" s="55">
        <v>5881555.6499999994</v>
      </c>
      <c r="F116" s="55">
        <f t="shared" si="5"/>
        <v>0</v>
      </c>
      <c r="I116" s="19"/>
      <c r="J116" s="55"/>
      <c r="K116" s="55"/>
      <c r="L116" s="55"/>
    </row>
    <row r="117" spans="2:12" ht="20.100000000000001" customHeight="1" x14ac:dyDescent="0.25">
      <c r="B117" s="1" t="s">
        <v>235</v>
      </c>
      <c r="C117" s="364"/>
      <c r="D117" s="55">
        <f>-'[1]NOTA 8-PROPIEDAD, PLANTA Y EQUI'!I23</f>
        <v>-5881555.6499999994</v>
      </c>
      <c r="E117" s="55">
        <v>-5881555.6499999994</v>
      </c>
      <c r="F117" s="55">
        <f t="shared" si="5"/>
        <v>0</v>
      </c>
      <c r="I117" s="364"/>
      <c r="J117" s="55"/>
      <c r="K117" s="55"/>
      <c r="L117" s="55"/>
    </row>
    <row r="118" spans="2:12" ht="20.100000000000001" customHeight="1" x14ac:dyDescent="0.25">
      <c r="C118" s="358" t="s">
        <v>799</v>
      </c>
      <c r="D118" s="55"/>
      <c r="E118" s="55"/>
      <c r="F118" s="55"/>
      <c r="I118" s="358"/>
      <c r="J118" s="55"/>
      <c r="K118" s="55"/>
      <c r="L118" s="55"/>
    </row>
    <row r="119" spans="2:12" ht="20.100000000000001" customHeight="1" x14ac:dyDescent="0.25">
      <c r="B119" s="16" t="s">
        <v>836</v>
      </c>
      <c r="C119" s="53" t="s">
        <v>9</v>
      </c>
      <c r="D119" s="56">
        <f>SUM(D108:D117)</f>
        <v>22767106.529999997</v>
      </c>
      <c r="E119" s="56">
        <f>SUM(E108:E117)</f>
        <v>23401780.689999998</v>
      </c>
      <c r="F119" s="56">
        <f>SUM(F108:F117)</f>
        <v>-634674.15999999712</v>
      </c>
      <c r="H119" s="16"/>
      <c r="I119" s="53"/>
      <c r="J119" s="56"/>
      <c r="K119" s="56"/>
      <c r="L119" s="56"/>
    </row>
    <row r="120" spans="2:12" ht="20.100000000000001" customHeight="1" x14ac:dyDescent="0.25">
      <c r="B120" s="20"/>
      <c r="C120" s="19" t="s">
        <v>9</v>
      </c>
      <c r="D120" s="55"/>
      <c r="E120" s="55"/>
      <c r="F120" s="55"/>
      <c r="H120" s="366"/>
      <c r="I120" s="19"/>
      <c r="J120" s="54"/>
      <c r="K120" s="54"/>
    </row>
    <row r="121" spans="2:12" ht="20.100000000000001" customHeight="1" x14ac:dyDescent="0.25">
      <c r="B121" s="20"/>
      <c r="C121" s="19" t="s">
        <v>9</v>
      </c>
      <c r="D121" s="55"/>
      <c r="E121" s="55"/>
      <c r="F121" s="55"/>
      <c r="H121" s="366"/>
      <c r="I121" s="19"/>
      <c r="J121" s="54"/>
      <c r="K121" s="54"/>
    </row>
    <row r="122" spans="2:12" ht="24.75" customHeight="1" x14ac:dyDescent="0.25">
      <c r="B122" s="16" t="s">
        <v>751</v>
      </c>
      <c r="C122" s="53">
        <v>9</v>
      </c>
      <c r="D122" s="1"/>
      <c r="E122" s="1"/>
      <c r="F122" s="1"/>
      <c r="I122" s="2"/>
    </row>
    <row r="123" spans="2:12" ht="20.100000000000001" customHeight="1" x14ac:dyDescent="0.25">
      <c r="B123" s="1" t="s">
        <v>98</v>
      </c>
      <c r="D123" s="55">
        <f>+'NOTA 9-CEDULAS CxP PROVEEDORES '!C9</f>
        <v>1920357.47</v>
      </c>
      <c r="E123" s="55">
        <v>2700779.62</v>
      </c>
      <c r="F123" s="55">
        <f t="shared" ref="F123:F136" si="6">D123-E123</f>
        <v>-780422.15000000014</v>
      </c>
      <c r="G123" s="20"/>
      <c r="H123" s="16"/>
      <c r="I123" s="19"/>
      <c r="J123" s="54"/>
      <c r="K123" s="54"/>
    </row>
    <row r="124" spans="2:12" ht="20.100000000000001" customHeight="1" x14ac:dyDescent="0.25">
      <c r="B124" s="1" t="s">
        <v>146</v>
      </c>
      <c r="D124" s="365">
        <f>+'NOTA 9-CEDULAS CxP PROVEEDORES '!C10</f>
        <v>324875.99</v>
      </c>
      <c r="E124" s="55">
        <v>305411.44</v>
      </c>
      <c r="F124" s="55">
        <f t="shared" si="6"/>
        <v>19464.549999999988</v>
      </c>
      <c r="H124" s="16"/>
      <c r="I124" s="19"/>
      <c r="J124" s="54"/>
      <c r="K124" s="54"/>
    </row>
    <row r="125" spans="2:12" ht="20.100000000000001" customHeight="1" x14ac:dyDescent="0.25">
      <c r="B125" s="1" t="s">
        <v>48</v>
      </c>
      <c r="C125" s="19" t="s">
        <v>9</v>
      </c>
      <c r="D125" s="365">
        <f>+'NOTA 9-CEDULAS CxP PROVEEDORES '!C11</f>
        <v>69744.2</v>
      </c>
      <c r="E125" s="51">
        <v>94837.86</v>
      </c>
      <c r="F125" s="55">
        <f t="shared" si="6"/>
        <v>-25093.660000000003</v>
      </c>
      <c r="H125" s="56"/>
      <c r="I125" s="19"/>
      <c r="J125" s="54"/>
      <c r="K125" s="54"/>
    </row>
    <row r="126" spans="2:12" ht="20.100000000000001" customHeight="1" x14ac:dyDescent="0.25">
      <c r="B126" s="1" t="s">
        <v>650</v>
      </c>
      <c r="D126" s="365">
        <f>+'NOTA 9-CEDULAS CxP PROVEEDORES '!C12</f>
        <v>658898.54</v>
      </c>
      <c r="E126" s="55">
        <v>148850</v>
      </c>
      <c r="F126" s="55">
        <f t="shared" si="6"/>
        <v>510048.54000000004</v>
      </c>
      <c r="G126" s="20"/>
      <c r="H126" s="56"/>
      <c r="I126" s="19"/>
      <c r="J126" s="54"/>
      <c r="K126" s="54"/>
    </row>
    <row r="127" spans="2:12" ht="20.100000000000001" customHeight="1" x14ac:dyDescent="0.25">
      <c r="B127" s="1" t="s">
        <v>646</v>
      </c>
      <c r="D127" s="365">
        <f>+'NOTA 9-CEDULAS CxP PROVEEDORES '!C13</f>
        <v>993091.84</v>
      </c>
      <c r="E127" s="55">
        <v>0</v>
      </c>
      <c r="F127" s="55">
        <f t="shared" si="6"/>
        <v>993091.84</v>
      </c>
      <c r="G127" s="20"/>
      <c r="H127" s="56"/>
      <c r="I127" s="19"/>
      <c r="J127" s="54"/>
      <c r="K127" s="54"/>
    </row>
    <row r="128" spans="2:12" ht="20.100000000000001" customHeight="1" x14ac:dyDescent="0.25">
      <c r="B128" s="1" t="s">
        <v>215</v>
      </c>
      <c r="D128" s="55">
        <f>+'NOTA 9-CEDULAS CxP PROVEEDORES '!C14</f>
        <v>0</v>
      </c>
      <c r="E128" s="55">
        <v>542640</v>
      </c>
      <c r="F128" s="55">
        <f t="shared" si="6"/>
        <v>-542640</v>
      </c>
      <c r="H128" s="16"/>
      <c r="I128" s="19"/>
      <c r="J128" s="54"/>
      <c r="K128" s="54"/>
    </row>
    <row r="129" spans="2:11" ht="20.100000000000001" hidden="1" customHeight="1" x14ac:dyDescent="0.25">
      <c r="B129" s="1" t="s">
        <v>653</v>
      </c>
      <c r="D129" s="55">
        <v>0</v>
      </c>
      <c r="E129" s="55">
        <v>0</v>
      </c>
      <c r="F129" s="55">
        <f t="shared" si="6"/>
        <v>0</v>
      </c>
      <c r="H129" s="16"/>
      <c r="I129" s="19"/>
      <c r="J129" s="54"/>
      <c r="K129" s="54"/>
    </row>
    <row r="130" spans="2:11" ht="20.100000000000001" customHeight="1" x14ac:dyDescent="0.25">
      <c r="C130" s="358" t="s">
        <v>799</v>
      </c>
      <c r="D130" s="55"/>
      <c r="E130" s="55"/>
      <c r="F130" s="55"/>
      <c r="H130" s="16"/>
      <c r="I130" s="19"/>
      <c r="J130" s="54"/>
      <c r="K130" s="54"/>
    </row>
    <row r="131" spans="2:11" ht="20.100000000000001" customHeight="1" x14ac:dyDescent="0.25">
      <c r="B131" s="16" t="s">
        <v>651</v>
      </c>
      <c r="C131" s="53"/>
      <c r="D131" s="56">
        <f>SUM(D123:D130)</f>
        <v>3966968.04</v>
      </c>
      <c r="E131" s="56">
        <f t="shared" ref="E131:F131" si="7">SUM(E123:E130)</f>
        <v>3792518.92</v>
      </c>
      <c r="F131" s="56">
        <f t="shared" si="7"/>
        <v>174449.11999999988</v>
      </c>
      <c r="I131" s="2"/>
    </row>
    <row r="132" spans="2:11" ht="20.100000000000001" customHeight="1" x14ac:dyDescent="0.25">
      <c r="D132" s="55"/>
      <c r="E132" s="55"/>
      <c r="F132" s="55"/>
      <c r="H132" s="16"/>
      <c r="I132" s="19"/>
      <c r="J132" s="54"/>
      <c r="K132" s="54"/>
    </row>
    <row r="133" spans="2:11" ht="20.100000000000001" customHeight="1" x14ac:dyDescent="0.25">
      <c r="D133" s="55"/>
      <c r="E133" s="55"/>
      <c r="F133" s="55"/>
      <c r="H133" s="16"/>
      <c r="I133" s="19"/>
      <c r="J133" s="54"/>
      <c r="K133" s="54"/>
    </row>
    <row r="134" spans="2:11" ht="44.25" customHeight="1" x14ac:dyDescent="0.25">
      <c r="B134" s="62" t="s">
        <v>697</v>
      </c>
      <c r="C134" s="53">
        <v>10</v>
      </c>
      <c r="D134" s="1"/>
      <c r="E134" s="1"/>
      <c r="F134" s="1"/>
      <c r="I134" s="2"/>
    </row>
    <row r="135" spans="2:11" ht="20.100000000000001" customHeight="1" x14ac:dyDescent="0.25">
      <c r="B135" s="1" t="s">
        <v>655</v>
      </c>
      <c r="D135" s="55">
        <f>+'NOTA 10-CEDULAS CxP CONTRATISTA'!B9</f>
        <v>0</v>
      </c>
      <c r="E135" s="55">
        <v>0</v>
      </c>
      <c r="F135" s="55">
        <f>D135-E135</f>
        <v>0</v>
      </c>
      <c r="G135" s="20"/>
      <c r="H135" s="16"/>
      <c r="I135" s="19"/>
      <c r="J135" s="54"/>
      <c r="K135" s="54"/>
    </row>
    <row r="136" spans="2:11" ht="20.100000000000001" customHeight="1" x14ac:dyDescent="0.25">
      <c r="B136" s="1" t="s">
        <v>654</v>
      </c>
      <c r="D136" s="365">
        <f>+'NOTA 10-CEDULAS CxP CONTRATISTA'!B10</f>
        <v>0</v>
      </c>
      <c r="E136" s="51">
        <v>765374.32</v>
      </c>
      <c r="F136" s="55">
        <f t="shared" si="6"/>
        <v>-765374.32</v>
      </c>
      <c r="H136" s="16"/>
      <c r="I136" s="19"/>
      <c r="J136" s="54"/>
      <c r="K136" s="54"/>
    </row>
    <row r="137" spans="2:11" ht="20.100000000000001" customHeight="1" x14ac:dyDescent="0.25">
      <c r="C137" s="358" t="s">
        <v>799</v>
      </c>
      <c r="D137" s="51"/>
      <c r="E137" s="51"/>
      <c r="F137" s="55"/>
      <c r="H137" s="16"/>
      <c r="I137" s="19"/>
      <c r="J137" s="54"/>
      <c r="K137" s="54"/>
    </row>
    <row r="138" spans="2:11" ht="37.5" customHeight="1" x14ac:dyDescent="0.25">
      <c r="B138" s="62" t="s">
        <v>685</v>
      </c>
      <c r="C138" s="53" t="s">
        <v>9</v>
      </c>
      <c r="D138" s="56">
        <f>SUM(D135:D137)</f>
        <v>0</v>
      </c>
      <c r="E138" s="56">
        <f t="shared" ref="E138:F138" si="8">SUM(E135:E137)</f>
        <v>765374.32</v>
      </c>
      <c r="F138" s="56">
        <f t="shared" si="8"/>
        <v>-765374.32</v>
      </c>
      <c r="I138" s="2"/>
    </row>
    <row r="139" spans="2:11" ht="20.100000000000001" customHeight="1" x14ac:dyDescent="0.25">
      <c r="B139" s="49"/>
      <c r="C139" s="60"/>
      <c r="D139" s="55"/>
      <c r="E139" s="55"/>
      <c r="F139" s="55"/>
      <c r="J139" s="54"/>
      <c r="K139" s="54"/>
    </row>
    <row r="140" spans="2:11" ht="20.100000000000001" customHeight="1" x14ac:dyDescent="0.25">
      <c r="C140" s="19" t="s">
        <v>9</v>
      </c>
      <c r="J140" s="56"/>
      <c r="K140" s="56"/>
    </row>
    <row r="141" spans="2:11" ht="24.75" customHeight="1" x14ac:dyDescent="0.25">
      <c r="B141" s="16" t="s">
        <v>696</v>
      </c>
      <c r="C141" s="53">
        <v>11</v>
      </c>
      <c r="D141" s="1"/>
      <c r="E141" s="1"/>
      <c r="F141" s="1"/>
      <c r="I141" s="2"/>
    </row>
    <row r="142" spans="2:11" ht="20.100000000000001" customHeight="1" x14ac:dyDescent="0.25">
      <c r="B142" s="1" t="s">
        <v>659</v>
      </c>
      <c r="D142" s="365">
        <f>+'NOTA 11-GASTOS PERSONAL X PAGAR'!B9</f>
        <v>553012.51</v>
      </c>
      <c r="E142" s="55">
        <v>509356.93</v>
      </c>
      <c r="F142" s="55">
        <f>D142-E142</f>
        <v>43655.580000000016</v>
      </c>
      <c r="K142" s="54"/>
    </row>
    <row r="143" spans="2:11" ht="20.100000000000001" customHeight="1" x14ac:dyDescent="0.25">
      <c r="B143" s="1" t="s">
        <v>99</v>
      </c>
      <c r="C143" s="19" t="s">
        <v>9</v>
      </c>
      <c r="D143" s="365">
        <f>+'NOTA 11-GASTOS PERSONAL X PAGAR'!B10</f>
        <v>9600692.4499999993</v>
      </c>
      <c r="E143" s="55">
        <v>15111945.689999999</v>
      </c>
      <c r="F143" s="55">
        <f>D143-E143</f>
        <v>-5511253.2400000002</v>
      </c>
      <c r="J143" s="54"/>
      <c r="K143" s="54"/>
    </row>
    <row r="144" spans="2:11" ht="20.100000000000001" customHeight="1" x14ac:dyDescent="0.25">
      <c r="B144" s="1" t="s">
        <v>782</v>
      </c>
      <c r="D144" s="365">
        <v>0</v>
      </c>
      <c r="E144" s="55">
        <v>1689614.64</v>
      </c>
      <c r="F144" s="55">
        <f>D144-E144</f>
        <v>-1689614.64</v>
      </c>
      <c r="J144" s="54"/>
      <c r="K144" s="54"/>
    </row>
    <row r="145" spans="2:11" ht="20.100000000000001" customHeight="1" x14ac:dyDescent="0.25">
      <c r="B145" s="1" t="s">
        <v>49</v>
      </c>
      <c r="C145" s="19" t="s">
        <v>9</v>
      </c>
      <c r="D145" s="365">
        <f>+'NOTA 11-GASTOS PERSONAL X PAGAR'!B12</f>
        <v>6635685.4699999997</v>
      </c>
      <c r="E145" s="55">
        <v>6983362.75</v>
      </c>
      <c r="F145" s="55">
        <f>D145-E145</f>
        <v>-347677.28000000026</v>
      </c>
      <c r="J145" s="54"/>
      <c r="K145" s="54"/>
    </row>
    <row r="146" spans="2:11" ht="20.100000000000001" customHeight="1" x14ac:dyDescent="0.25">
      <c r="B146" s="1" t="s">
        <v>204</v>
      </c>
      <c r="C146" s="19" t="s">
        <v>9</v>
      </c>
      <c r="D146" s="365">
        <f>+'NOTA 11-GASTOS PERSONAL X PAGAR'!B13</f>
        <v>5576538.3399999999</v>
      </c>
      <c r="E146" s="93">
        <v>4769048.34</v>
      </c>
      <c r="F146" s="55">
        <f>D146-E146</f>
        <v>807490</v>
      </c>
      <c r="J146" s="54"/>
      <c r="K146" s="54"/>
    </row>
    <row r="147" spans="2:11" ht="20.100000000000001" customHeight="1" x14ac:dyDescent="0.25">
      <c r="C147" s="358" t="s">
        <v>799</v>
      </c>
      <c r="D147" s="55"/>
      <c r="E147" s="55"/>
      <c r="F147" s="55"/>
      <c r="J147" s="54"/>
      <c r="K147" s="54"/>
    </row>
    <row r="148" spans="2:11" ht="20.100000000000001" customHeight="1" x14ac:dyDescent="0.25">
      <c r="B148" s="16" t="s">
        <v>660</v>
      </c>
      <c r="C148" s="53" t="s">
        <v>9</v>
      </c>
      <c r="D148" s="56">
        <f>SUM(D142:D147)</f>
        <v>22365928.77</v>
      </c>
      <c r="E148" s="56">
        <f>SUM(E142:E147)</f>
        <v>29063328.349999998</v>
      </c>
      <c r="F148" s="56">
        <f>SUM(F142:F147)</f>
        <v>-6697399.5800000001</v>
      </c>
      <c r="I148" s="2"/>
    </row>
    <row r="149" spans="2:11" ht="20.100000000000001" customHeight="1" x14ac:dyDescent="0.25">
      <c r="C149" s="19" t="s">
        <v>9</v>
      </c>
      <c r="D149" s="55"/>
      <c r="E149" s="55"/>
      <c r="F149" s="55"/>
    </row>
    <row r="150" spans="2:11" ht="20.100000000000001" customHeight="1" x14ac:dyDescent="0.25">
      <c r="C150" s="19" t="s">
        <v>9</v>
      </c>
      <c r="D150" s="55"/>
      <c r="E150" s="55"/>
      <c r="F150" s="55"/>
    </row>
    <row r="151" spans="2:11" ht="24.75" customHeight="1" x14ac:dyDescent="0.25">
      <c r="B151" s="16" t="s">
        <v>695</v>
      </c>
      <c r="C151" s="53">
        <v>12</v>
      </c>
      <c r="D151" s="1"/>
      <c r="E151" s="1"/>
      <c r="F151" s="1"/>
      <c r="I151" s="2"/>
    </row>
    <row r="152" spans="2:11" ht="20.100000000000001" customHeight="1" x14ac:dyDescent="0.25">
      <c r="B152" s="1" t="s">
        <v>458</v>
      </c>
      <c r="D152" s="365">
        <f>+'NOTA 12-RETENCIONES X PAGAR'!B10</f>
        <v>344634.65</v>
      </c>
      <c r="E152" s="93">
        <v>906009.51</v>
      </c>
      <c r="F152" s="55">
        <f>D152-E152</f>
        <v>-561374.86</v>
      </c>
      <c r="J152" s="54"/>
      <c r="K152" s="54"/>
    </row>
    <row r="153" spans="2:11" ht="20.100000000000001" customHeight="1" x14ac:dyDescent="0.25">
      <c r="B153" s="1" t="s">
        <v>459</v>
      </c>
      <c r="C153" s="19" t="s">
        <v>9</v>
      </c>
      <c r="D153" s="365">
        <f>+'NOTA 12-RETENCIONES X PAGAR'!B11</f>
        <v>3776238.36</v>
      </c>
      <c r="E153" s="93">
        <v>1557797.52</v>
      </c>
      <c r="F153" s="55">
        <f>D153-E153</f>
        <v>2218440.84</v>
      </c>
      <c r="J153" s="54"/>
      <c r="K153" s="54"/>
    </row>
    <row r="154" spans="2:11" ht="20.100000000000001" customHeight="1" x14ac:dyDescent="0.25">
      <c r="B154" s="1" t="s">
        <v>205</v>
      </c>
      <c r="D154" s="365">
        <f>+'NOTA 12-RETENCIONES X PAGAR'!B12</f>
        <v>140335.71</v>
      </c>
      <c r="E154" s="55">
        <v>130092.33</v>
      </c>
      <c r="F154" s="55">
        <f t="shared" ref="F154" si="9">D154-E154</f>
        <v>10243.37999999999</v>
      </c>
      <c r="J154" s="54"/>
      <c r="K154" s="54"/>
    </row>
    <row r="155" spans="2:11" ht="20.100000000000001" customHeight="1" x14ac:dyDescent="0.25">
      <c r="B155" s="1" t="s">
        <v>206</v>
      </c>
      <c r="D155" s="365">
        <f>+'NOTA 12-RETENCIONES X PAGAR'!B13</f>
        <v>0</v>
      </c>
      <c r="E155" s="55">
        <v>5133.99</v>
      </c>
      <c r="F155" s="55">
        <f>D155-E155</f>
        <v>-5133.99</v>
      </c>
      <c r="J155" s="54"/>
      <c r="K155" s="54"/>
    </row>
    <row r="156" spans="2:11" ht="20.100000000000001" customHeight="1" x14ac:dyDescent="0.25">
      <c r="B156" s="1" t="s">
        <v>207</v>
      </c>
      <c r="D156" s="365">
        <f>+'NOTA 12-RETENCIONES X PAGAR'!B14</f>
        <v>0</v>
      </c>
      <c r="E156" s="55">
        <v>51339.91</v>
      </c>
      <c r="F156" s="55">
        <f>D156-E156</f>
        <v>-51339.91</v>
      </c>
      <c r="J156" s="54"/>
      <c r="K156" s="54"/>
    </row>
    <row r="157" spans="2:11" ht="20.100000000000001" customHeight="1" x14ac:dyDescent="0.25">
      <c r="C157" s="358" t="s">
        <v>799</v>
      </c>
      <c r="D157" s="365"/>
      <c r="E157" s="55"/>
      <c r="F157" s="55"/>
      <c r="H157" s="16"/>
      <c r="I157" s="19"/>
      <c r="J157" s="54"/>
      <c r="K157" s="54"/>
    </row>
    <row r="158" spans="2:11" ht="20.100000000000001" customHeight="1" x14ac:dyDescent="0.25">
      <c r="B158" s="16" t="s">
        <v>656</v>
      </c>
      <c r="C158" s="53" t="s">
        <v>9</v>
      </c>
      <c r="D158" s="56">
        <f>SUM(D152:D157)</f>
        <v>4261208.72</v>
      </c>
      <c r="E158" s="56">
        <f>SUM(E152:E157)</f>
        <v>2650373.2600000007</v>
      </c>
      <c r="F158" s="56">
        <f>SUM(F152:F157)</f>
        <v>1610835.46</v>
      </c>
      <c r="I158" s="2"/>
    </row>
    <row r="159" spans="2:11" ht="20.100000000000001" customHeight="1" x14ac:dyDescent="0.25">
      <c r="D159" s="55"/>
      <c r="E159" s="55"/>
      <c r="F159" s="55"/>
    </row>
    <row r="160" spans="2:11" ht="20.100000000000001" customHeight="1" x14ac:dyDescent="0.25">
      <c r="D160" s="55"/>
      <c r="E160" s="55"/>
      <c r="F160" s="55"/>
    </row>
    <row r="161" spans="2:9" ht="24.75" customHeight="1" x14ac:dyDescent="0.25">
      <c r="B161" s="16" t="s">
        <v>694</v>
      </c>
      <c r="C161" s="53">
        <v>13</v>
      </c>
      <c r="D161" s="1"/>
      <c r="E161" s="1"/>
      <c r="F161" s="1"/>
      <c r="I161" s="2"/>
    </row>
    <row r="162" spans="2:9" ht="20.100000000000001" customHeight="1" x14ac:dyDescent="0.25">
      <c r="B162" s="1" t="s">
        <v>694</v>
      </c>
      <c r="D162" s="55">
        <f>+'NOTA 13-OTRAS CXP'!B10</f>
        <v>84504303.310000002</v>
      </c>
      <c r="E162" s="55">
        <v>101405163.98</v>
      </c>
      <c r="F162" s="55">
        <f>D162-E162</f>
        <v>-16900860.670000002</v>
      </c>
    </row>
    <row r="163" spans="2:9" ht="20.100000000000001" customHeight="1" x14ac:dyDescent="0.25">
      <c r="C163" s="358" t="s">
        <v>799</v>
      </c>
      <c r="D163" s="55"/>
      <c r="E163" s="55"/>
      <c r="F163" s="55"/>
    </row>
    <row r="164" spans="2:9" ht="20.100000000000001" customHeight="1" x14ac:dyDescent="0.25">
      <c r="B164" s="16" t="s">
        <v>218</v>
      </c>
      <c r="C164" s="53" t="s">
        <v>9</v>
      </c>
      <c r="D164" s="56">
        <f>SUM(D162:D162)</f>
        <v>84504303.310000002</v>
      </c>
      <c r="E164" s="56">
        <f>SUM(E162:E162)</f>
        <v>101405163.98</v>
      </c>
      <c r="F164" s="56">
        <f>SUM(F162:F162)</f>
        <v>-16900860.670000002</v>
      </c>
      <c r="I164" s="2"/>
    </row>
    <row r="165" spans="2:9" ht="20.100000000000001" customHeight="1" x14ac:dyDescent="0.25">
      <c r="C165" s="19" t="s">
        <v>9</v>
      </c>
      <c r="D165" s="1"/>
      <c r="E165" s="1"/>
      <c r="F165" s="1"/>
    </row>
    <row r="166" spans="2:9" ht="20.100000000000001" customHeight="1" x14ac:dyDescent="0.25">
      <c r="C166" s="19" t="s">
        <v>9</v>
      </c>
      <c r="D166" s="55"/>
      <c r="E166" s="55"/>
      <c r="F166" s="55"/>
    </row>
    <row r="167" spans="2:9" ht="20.100000000000001" customHeight="1" x14ac:dyDescent="0.25">
      <c r="C167" s="19" t="s">
        <v>9</v>
      </c>
      <c r="D167" s="1"/>
      <c r="E167" s="1"/>
      <c r="F167" s="1"/>
    </row>
    <row r="168" spans="2:9" x14ac:dyDescent="0.25">
      <c r="C168" s="19" t="s">
        <v>9</v>
      </c>
      <c r="D168" s="55"/>
      <c r="E168" s="55"/>
      <c r="F168" s="55"/>
    </row>
    <row r="169" spans="2:9" x14ac:dyDescent="0.25">
      <c r="D169" s="55"/>
      <c r="E169" s="1"/>
      <c r="F169" s="1"/>
    </row>
    <row r="170" spans="2:9" x14ac:dyDescent="0.25">
      <c r="D170" s="1"/>
      <c r="E170" s="1"/>
      <c r="F170" s="1"/>
    </row>
    <row r="171" spans="2:9" x14ac:dyDescent="0.25">
      <c r="D171" s="1"/>
      <c r="E171" s="1"/>
      <c r="F171" s="1"/>
    </row>
    <row r="172" spans="2:9" x14ac:dyDescent="0.25">
      <c r="D172" s="1"/>
      <c r="E172" s="1"/>
      <c r="F172" s="1"/>
    </row>
    <row r="173" spans="2:9" x14ac:dyDescent="0.25">
      <c r="D173" s="1"/>
      <c r="E173" s="1"/>
      <c r="F173" s="1"/>
    </row>
    <row r="174" spans="2:9" x14ac:dyDescent="0.25">
      <c r="D174" s="1"/>
      <c r="E174" s="1"/>
      <c r="F174" s="1"/>
    </row>
    <row r="175" spans="2:9" x14ac:dyDescent="0.25">
      <c r="D175" s="1"/>
      <c r="E175" s="1"/>
      <c r="F175" s="1"/>
    </row>
    <row r="176" spans="2:9" x14ac:dyDescent="0.25">
      <c r="D176" s="1"/>
      <c r="E176" s="1"/>
      <c r="F176" s="1"/>
    </row>
    <row r="177" spans="4:6" x14ac:dyDescent="0.25">
      <c r="D177" s="1"/>
      <c r="E177" s="1"/>
      <c r="F177" s="1"/>
    </row>
    <row r="178" spans="4:6" x14ac:dyDescent="0.25">
      <c r="D178" s="1"/>
      <c r="E178" s="1"/>
      <c r="F178" s="1"/>
    </row>
    <row r="179" spans="4:6" x14ac:dyDescent="0.25">
      <c r="D179" s="1"/>
      <c r="E179" s="1"/>
      <c r="F179" s="1"/>
    </row>
    <row r="180" spans="4:6" x14ac:dyDescent="0.25">
      <c r="D180" s="1"/>
      <c r="E180" s="1"/>
      <c r="F180" s="1"/>
    </row>
    <row r="181" spans="4:6" x14ac:dyDescent="0.25">
      <c r="D181" s="1"/>
      <c r="E181" s="1"/>
      <c r="F181" s="1"/>
    </row>
    <row r="182" spans="4:6" x14ac:dyDescent="0.25">
      <c r="D182" s="1"/>
      <c r="E182" s="1"/>
      <c r="F182" s="1"/>
    </row>
    <row r="183" spans="4:6" x14ac:dyDescent="0.25">
      <c r="D183" s="1"/>
      <c r="E183" s="1"/>
      <c r="F183" s="1"/>
    </row>
    <row r="184" spans="4:6" x14ac:dyDescent="0.25">
      <c r="D184" s="1"/>
      <c r="E184" s="1"/>
      <c r="F184" s="1"/>
    </row>
    <row r="185" spans="4:6" x14ac:dyDescent="0.25">
      <c r="D185" s="1"/>
      <c r="E185" s="1"/>
      <c r="F185" s="1"/>
    </row>
    <row r="186" spans="4:6" x14ac:dyDescent="0.25">
      <c r="D186" s="1"/>
      <c r="E186" s="1"/>
      <c r="F186" s="1"/>
    </row>
    <row r="187" spans="4:6" x14ac:dyDescent="0.25">
      <c r="D187" s="1"/>
      <c r="E187" s="1"/>
      <c r="F187" s="1"/>
    </row>
    <row r="188" spans="4:6" x14ac:dyDescent="0.25">
      <c r="D188" s="1"/>
      <c r="E188" s="1"/>
      <c r="F188" s="1"/>
    </row>
    <row r="189" spans="4:6" x14ac:dyDescent="0.25">
      <c r="D189" s="1"/>
      <c r="E189" s="1"/>
      <c r="F189" s="1"/>
    </row>
    <row r="190" spans="4:6" x14ac:dyDescent="0.25">
      <c r="D190" s="1"/>
      <c r="E190" s="1"/>
      <c r="F190" s="1"/>
    </row>
    <row r="191" spans="4:6" x14ac:dyDescent="0.25">
      <c r="D191" s="1"/>
      <c r="E191" s="1"/>
      <c r="F191" s="1"/>
    </row>
    <row r="192" spans="4:6" x14ac:dyDescent="0.25">
      <c r="D192" s="1"/>
      <c r="E192" s="1"/>
      <c r="F192" s="1"/>
    </row>
    <row r="193" spans="4:6" x14ac:dyDescent="0.25">
      <c r="D193" s="1"/>
      <c r="E193" s="1"/>
      <c r="F193" s="1"/>
    </row>
    <row r="194" spans="4:6" x14ac:dyDescent="0.25">
      <c r="D194" s="1"/>
      <c r="E194" s="1"/>
      <c r="F194" s="1"/>
    </row>
    <row r="195" spans="4:6" x14ac:dyDescent="0.25">
      <c r="D195" s="1"/>
      <c r="E195" s="1"/>
      <c r="F195" s="1"/>
    </row>
    <row r="196" spans="4:6" x14ac:dyDescent="0.25">
      <c r="D196" s="1"/>
      <c r="E196" s="1"/>
      <c r="F196" s="1"/>
    </row>
    <row r="197" spans="4:6" x14ac:dyDescent="0.25">
      <c r="D197" s="1"/>
      <c r="E197" s="1"/>
      <c r="F197" s="1"/>
    </row>
    <row r="198" spans="4:6" x14ac:dyDescent="0.25">
      <c r="D198" s="1"/>
      <c r="E198" s="1"/>
      <c r="F198" s="1"/>
    </row>
    <row r="199" spans="4:6" x14ac:dyDescent="0.25">
      <c r="D199" s="1"/>
      <c r="E199" s="1"/>
      <c r="F199" s="1"/>
    </row>
    <row r="200" spans="4:6" x14ac:dyDescent="0.25">
      <c r="D200" s="1"/>
      <c r="E200" s="1"/>
      <c r="F200" s="1"/>
    </row>
    <row r="201" spans="4:6" x14ac:dyDescent="0.25">
      <c r="D201" s="1"/>
      <c r="E201" s="1"/>
      <c r="F201" s="1"/>
    </row>
    <row r="202" spans="4:6" x14ac:dyDescent="0.25">
      <c r="D202" s="1"/>
      <c r="E202" s="1"/>
      <c r="F202" s="1"/>
    </row>
    <row r="203" spans="4:6" x14ac:dyDescent="0.25">
      <c r="D203" s="1"/>
      <c r="E203" s="1"/>
      <c r="F203" s="1"/>
    </row>
    <row r="204" spans="4:6" x14ac:dyDescent="0.25">
      <c r="D204" s="1"/>
      <c r="E204" s="1"/>
      <c r="F204" s="1"/>
    </row>
    <row r="205" spans="4:6" x14ac:dyDescent="0.25">
      <c r="D205" s="1"/>
      <c r="E205" s="1"/>
      <c r="F205" s="1"/>
    </row>
    <row r="206" spans="4:6" x14ac:dyDescent="0.25">
      <c r="D206" s="1"/>
      <c r="E206" s="1"/>
      <c r="F206" s="1"/>
    </row>
    <row r="207" spans="4:6" x14ac:dyDescent="0.25">
      <c r="D207" s="1"/>
      <c r="E207" s="1"/>
      <c r="F207" s="1"/>
    </row>
    <row r="208" spans="4:6" x14ac:dyDescent="0.25">
      <c r="D208" s="1"/>
      <c r="E208" s="1"/>
      <c r="F208" s="1"/>
    </row>
    <row r="209" spans="4:6" x14ac:dyDescent="0.25">
      <c r="D209" s="1"/>
      <c r="E209" s="1"/>
      <c r="F209" s="1"/>
    </row>
    <row r="210" spans="4:6" x14ac:dyDescent="0.25">
      <c r="D210" s="1"/>
      <c r="E210" s="1"/>
      <c r="F210" s="1"/>
    </row>
    <row r="211" spans="4:6" x14ac:dyDescent="0.25">
      <c r="D211" s="1"/>
      <c r="E211" s="1"/>
      <c r="F211" s="1"/>
    </row>
    <row r="212" spans="4:6" x14ac:dyDescent="0.25">
      <c r="D212" s="1"/>
      <c r="E212" s="1"/>
      <c r="F212" s="1"/>
    </row>
    <row r="213" spans="4:6" x14ac:dyDescent="0.25">
      <c r="D213" s="1"/>
      <c r="E213" s="1"/>
      <c r="F213" s="1"/>
    </row>
    <row r="214" spans="4:6" x14ac:dyDescent="0.25">
      <c r="D214" s="1"/>
      <c r="E214" s="1"/>
      <c r="F214" s="1"/>
    </row>
    <row r="215" spans="4:6" x14ac:dyDescent="0.25">
      <c r="D215" s="1"/>
      <c r="E215" s="1"/>
      <c r="F215" s="1"/>
    </row>
    <row r="216" spans="4:6" x14ac:dyDescent="0.25">
      <c r="D216" s="1"/>
      <c r="E216" s="1"/>
      <c r="F216" s="1"/>
    </row>
    <row r="217" spans="4:6" x14ac:dyDescent="0.25">
      <c r="D217" s="1"/>
      <c r="E217" s="1"/>
      <c r="F217" s="1"/>
    </row>
    <row r="218" spans="4:6" x14ac:dyDescent="0.25">
      <c r="D218" s="1"/>
      <c r="E218" s="1"/>
      <c r="F218" s="1"/>
    </row>
    <row r="219" spans="4:6" x14ac:dyDescent="0.25">
      <c r="D219" s="1"/>
      <c r="E219" s="1"/>
      <c r="F219" s="1"/>
    </row>
    <row r="220" spans="4:6" x14ac:dyDescent="0.25">
      <c r="D220" s="1"/>
      <c r="E220" s="1"/>
      <c r="F220" s="1"/>
    </row>
    <row r="221" spans="4:6" x14ac:dyDescent="0.25">
      <c r="D221" s="1"/>
      <c r="E221" s="1"/>
      <c r="F221" s="1"/>
    </row>
    <row r="222" spans="4:6" x14ac:dyDescent="0.25">
      <c r="D222" s="1"/>
      <c r="E222" s="1"/>
      <c r="F222" s="1"/>
    </row>
    <row r="223" spans="4:6" x14ac:dyDescent="0.25">
      <c r="D223" s="1"/>
      <c r="E223" s="1"/>
      <c r="F223" s="1"/>
    </row>
    <row r="224" spans="4:6" x14ac:dyDescent="0.25">
      <c r="D224" s="1"/>
      <c r="E224" s="1"/>
      <c r="F224" s="1"/>
    </row>
    <row r="225" spans="4:6" x14ac:dyDescent="0.25">
      <c r="D225" s="1"/>
      <c r="E225" s="1"/>
      <c r="F225" s="1"/>
    </row>
    <row r="226" spans="4:6" x14ac:dyDescent="0.25">
      <c r="D226" s="1"/>
      <c r="E226" s="1"/>
      <c r="F226" s="1"/>
    </row>
    <row r="227" spans="4:6" x14ac:dyDescent="0.25">
      <c r="D227" s="1"/>
      <c r="E227" s="1"/>
      <c r="F227" s="1"/>
    </row>
    <row r="228" spans="4:6" x14ac:dyDescent="0.25">
      <c r="D228" s="1"/>
      <c r="E228" s="1"/>
      <c r="F228" s="1"/>
    </row>
    <row r="229" spans="4:6" x14ac:dyDescent="0.25">
      <c r="D229" s="1"/>
      <c r="E229" s="1"/>
      <c r="F229" s="1"/>
    </row>
    <row r="230" spans="4:6" x14ac:dyDescent="0.25">
      <c r="D230" s="1"/>
      <c r="E230" s="1"/>
      <c r="F230" s="1"/>
    </row>
    <row r="231" spans="4:6" x14ac:dyDescent="0.25">
      <c r="D231" s="1"/>
      <c r="E231" s="1"/>
      <c r="F231" s="1"/>
    </row>
    <row r="232" spans="4:6" x14ac:dyDescent="0.25">
      <c r="D232" s="1"/>
      <c r="E232" s="1"/>
      <c r="F232" s="1"/>
    </row>
    <row r="233" spans="4:6" x14ac:dyDescent="0.25">
      <c r="D233" s="1"/>
      <c r="E233" s="1"/>
      <c r="F233" s="1"/>
    </row>
    <row r="234" spans="4:6" x14ac:dyDescent="0.25">
      <c r="D234" s="1"/>
      <c r="E234" s="1"/>
      <c r="F234" s="1"/>
    </row>
    <row r="235" spans="4:6" x14ac:dyDescent="0.25">
      <c r="D235" s="1"/>
      <c r="E235" s="1"/>
      <c r="F235" s="1"/>
    </row>
    <row r="236" spans="4:6" x14ac:dyDescent="0.25">
      <c r="D236" s="1"/>
      <c r="E236" s="1"/>
      <c r="F236" s="1"/>
    </row>
    <row r="237" spans="4:6" x14ac:dyDescent="0.25">
      <c r="D237" s="1"/>
      <c r="E237" s="1"/>
      <c r="F237" s="1"/>
    </row>
    <row r="238" spans="4:6" x14ac:dyDescent="0.25">
      <c r="D238" s="1"/>
      <c r="E238" s="1"/>
      <c r="F238" s="1"/>
    </row>
    <row r="239" spans="4:6" x14ac:dyDescent="0.25">
      <c r="D239" s="1"/>
      <c r="E239" s="1"/>
      <c r="F239" s="1"/>
    </row>
    <row r="240" spans="4:6" x14ac:dyDescent="0.25">
      <c r="D240" s="1"/>
      <c r="E240" s="1"/>
      <c r="F240" s="1"/>
    </row>
    <row r="241" spans="4:6" x14ac:dyDescent="0.25">
      <c r="D241" s="1"/>
      <c r="E241" s="1"/>
      <c r="F241" s="1"/>
    </row>
    <row r="242" spans="4:6" x14ac:dyDescent="0.25">
      <c r="D242" s="1"/>
      <c r="E242" s="1"/>
      <c r="F242" s="1"/>
    </row>
    <row r="243" spans="4:6" x14ac:dyDescent="0.25">
      <c r="D243" s="1"/>
      <c r="E243" s="1"/>
      <c r="F243" s="1"/>
    </row>
    <row r="244" spans="4:6" x14ac:dyDescent="0.25">
      <c r="D244" s="1"/>
      <c r="E244" s="1"/>
      <c r="F244" s="1"/>
    </row>
    <row r="245" spans="4:6" x14ac:dyDescent="0.25">
      <c r="D245" s="1"/>
      <c r="E245" s="1"/>
      <c r="F245" s="1"/>
    </row>
    <row r="246" spans="4:6" x14ac:dyDescent="0.25">
      <c r="D246" s="1"/>
      <c r="E246" s="1"/>
      <c r="F246" s="1"/>
    </row>
    <row r="247" spans="4:6" x14ac:dyDescent="0.25">
      <c r="D247" s="1"/>
      <c r="E247" s="1"/>
      <c r="F247" s="1"/>
    </row>
    <row r="248" spans="4:6" x14ac:dyDescent="0.25">
      <c r="D248" s="1"/>
      <c r="E248" s="1"/>
      <c r="F248" s="1"/>
    </row>
    <row r="249" spans="4:6" x14ac:dyDescent="0.25">
      <c r="D249" s="1"/>
      <c r="E249" s="1"/>
      <c r="F249" s="1"/>
    </row>
    <row r="250" spans="4:6" x14ac:dyDescent="0.25">
      <c r="D250" s="1"/>
      <c r="E250" s="1"/>
      <c r="F250" s="1"/>
    </row>
    <row r="251" spans="4:6" x14ac:dyDescent="0.25">
      <c r="D251" s="1"/>
      <c r="E251" s="1"/>
      <c r="F251" s="1"/>
    </row>
    <row r="252" spans="4:6" x14ac:dyDescent="0.25">
      <c r="D252" s="1"/>
      <c r="E252" s="1"/>
      <c r="F252" s="1"/>
    </row>
    <row r="253" spans="4:6" x14ac:dyDescent="0.25">
      <c r="D253" s="1"/>
      <c r="E253" s="1"/>
      <c r="F253" s="1"/>
    </row>
    <row r="254" spans="4:6" x14ac:dyDescent="0.25">
      <c r="D254" s="1"/>
      <c r="E254" s="1"/>
      <c r="F254" s="1"/>
    </row>
    <row r="255" spans="4:6" x14ac:dyDescent="0.25">
      <c r="D255" s="1"/>
      <c r="E255" s="1"/>
      <c r="F255" s="1"/>
    </row>
    <row r="256" spans="4:6" x14ac:dyDescent="0.25">
      <c r="D256" s="1"/>
      <c r="E256" s="1"/>
      <c r="F256" s="1"/>
    </row>
    <row r="257" spans="4:6" x14ac:dyDescent="0.25">
      <c r="D257" s="1"/>
      <c r="E257" s="1"/>
      <c r="F257" s="1"/>
    </row>
    <row r="258" spans="4:6" x14ac:dyDescent="0.25">
      <c r="D258" s="1"/>
      <c r="E258" s="1"/>
      <c r="F258" s="1"/>
    </row>
    <row r="259" spans="4:6" x14ac:dyDescent="0.25">
      <c r="D259" s="1"/>
      <c r="E259" s="1"/>
      <c r="F259" s="1"/>
    </row>
    <row r="260" spans="4:6" x14ac:dyDescent="0.25">
      <c r="D260" s="1"/>
      <c r="E260" s="1"/>
      <c r="F260" s="1"/>
    </row>
    <row r="261" spans="4:6" x14ac:dyDescent="0.25">
      <c r="D261" s="1"/>
      <c r="E261" s="1"/>
      <c r="F261" s="1"/>
    </row>
    <row r="262" spans="4:6" x14ac:dyDescent="0.25">
      <c r="D262" s="1"/>
      <c r="E262" s="1"/>
      <c r="F262" s="1"/>
    </row>
    <row r="263" spans="4:6" x14ac:dyDescent="0.25">
      <c r="D263" s="1"/>
      <c r="E263" s="1"/>
      <c r="F263" s="1"/>
    </row>
    <row r="264" spans="4:6" x14ac:dyDescent="0.25">
      <c r="D264" s="1"/>
      <c r="E264" s="1"/>
      <c r="F264" s="1"/>
    </row>
    <row r="265" spans="4:6" x14ac:dyDescent="0.25">
      <c r="D265" s="1"/>
      <c r="E265" s="1"/>
      <c r="F265" s="1"/>
    </row>
    <row r="266" spans="4:6" x14ac:dyDescent="0.25">
      <c r="D266" s="1"/>
      <c r="E266" s="1"/>
      <c r="F266" s="1"/>
    </row>
    <row r="267" spans="4:6" x14ac:dyDescent="0.25">
      <c r="D267" s="1"/>
      <c r="E267" s="1"/>
      <c r="F267" s="1"/>
    </row>
    <row r="268" spans="4:6" x14ac:dyDescent="0.25">
      <c r="D268" s="1"/>
      <c r="E268" s="1"/>
      <c r="F268" s="1"/>
    </row>
    <row r="269" spans="4:6" x14ac:dyDescent="0.25">
      <c r="D269" s="1"/>
      <c r="E269" s="1"/>
      <c r="F269" s="1"/>
    </row>
    <row r="270" spans="4:6" x14ac:dyDescent="0.25">
      <c r="D270" s="1"/>
      <c r="E270" s="1"/>
      <c r="F270" s="1"/>
    </row>
  </sheetData>
  <pageMargins left="0.35433070866141736" right="0.23622047244094491" top="0.47244094488188981" bottom="0.59055118110236227" header="0.15748031496062992" footer="0.31496062992125984"/>
  <pageSetup scale="55" orientation="portrait" r:id="rId1"/>
  <headerFooter>
    <oddFooter>Page &amp;P of &amp;N</oddFooter>
  </headerFooter>
  <rowBreaks count="1" manualBreakCount="1">
    <brk id="67" max="5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7A020-B7FC-4810-BA6C-C89B01CB0D08}">
  <dimension ref="A2:D44"/>
  <sheetViews>
    <sheetView topLeftCell="A7" zoomScaleNormal="100" workbookViewId="0">
      <selection activeCell="D13" sqref="D13"/>
    </sheetView>
  </sheetViews>
  <sheetFormatPr baseColWidth="10" defaultRowHeight="24.75" customHeight="1" x14ac:dyDescent="0.25"/>
  <cols>
    <col min="1" max="1" width="61.85546875" style="1" customWidth="1"/>
    <col min="2" max="2" width="23.7109375" style="1" customWidth="1"/>
    <col min="3" max="3" width="15.28515625" style="1" bestFit="1" customWidth="1"/>
    <col min="4" max="4" width="23.85546875" style="1" customWidth="1"/>
    <col min="5" max="16384" width="11.42578125" style="1"/>
  </cols>
  <sheetData>
    <row r="2" spans="1:4" ht="24.75" customHeight="1" x14ac:dyDescent="0.25">
      <c r="A2" s="16"/>
      <c r="B2" s="16"/>
    </row>
    <row r="3" spans="1:4" ht="24.75" customHeight="1" x14ac:dyDescent="0.25">
      <c r="A3" s="16"/>
      <c r="B3" s="16"/>
    </row>
    <row r="4" spans="1:4" ht="24.75" customHeight="1" x14ac:dyDescent="0.25">
      <c r="A4" s="484" t="s">
        <v>687</v>
      </c>
      <c r="B4" s="484"/>
    </row>
    <row r="5" spans="1:4" ht="24.75" customHeight="1" x14ac:dyDescent="0.25">
      <c r="A5" s="484" t="s">
        <v>170</v>
      </c>
      <c r="B5" s="484"/>
    </row>
    <row r="6" spans="1:4" ht="24.75" customHeight="1" x14ac:dyDescent="0.25">
      <c r="A6" s="484" t="s">
        <v>658</v>
      </c>
      <c r="B6" s="484"/>
    </row>
    <row r="7" spans="1:4" ht="24.75" customHeight="1" x14ac:dyDescent="0.25">
      <c r="A7" s="496">
        <v>45504</v>
      </c>
      <c r="B7" s="496"/>
    </row>
    <row r="8" spans="1:4" ht="24.75" customHeight="1" thickBot="1" x14ac:dyDescent="0.3">
      <c r="A8" s="74"/>
    </row>
    <row r="9" spans="1:4" ht="24.75" customHeight="1" thickBot="1" x14ac:dyDescent="0.3">
      <c r="A9" s="168" t="s">
        <v>183</v>
      </c>
      <c r="B9" s="169" t="s">
        <v>156</v>
      </c>
    </row>
    <row r="10" spans="1:4" ht="24.75" customHeight="1" x14ac:dyDescent="0.25">
      <c r="A10" s="170" t="s">
        <v>620</v>
      </c>
      <c r="B10" s="314">
        <v>344634.65</v>
      </c>
    </row>
    <row r="11" spans="1:4" ht="24.75" customHeight="1" x14ac:dyDescent="0.25">
      <c r="A11" s="81" t="s">
        <v>621</v>
      </c>
      <c r="B11" s="250">
        <v>3776238.36</v>
      </c>
    </row>
    <row r="12" spans="1:4" ht="24.75" customHeight="1" x14ac:dyDescent="0.25">
      <c r="A12" s="81" t="s">
        <v>619</v>
      </c>
      <c r="B12" s="250">
        <v>140335.71</v>
      </c>
    </row>
    <row r="13" spans="1:4" ht="24.75" customHeight="1" x14ac:dyDescent="0.25">
      <c r="A13" s="81" t="s">
        <v>277</v>
      </c>
      <c r="B13" s="250">
        <v>0</v>
      </c>
    </row>
    <row r="14" spans="1:4" ht="24.75" customHeight="1" x14ac:dyDescent="0.4">
      <c r="A14" s="81" t="s">
        <v>278</v>
      </c>
      <c r="B14" s="251">
        <v>0</v>
      </c>
    </row>
    <row r="15" spans="1:4" ht="24.75" customHeight="1" x14ac:dyDescent="0.25">
      <c r="A15" s="86" t="s">
        <v>126</v>
      </c>
      <c r="B15" s="315">
        <f>SUM(B10:B14)</f>
        <v>4261208.72</v>
      </c>
      <c r="D15" s="20"/>
    </row>
    <row r="16" spans="1:4" ht="24.75" customHeight="1" thickBot="1" x14ac:dyDescent="0.3">
      <c r="A16" s="99"/>
      <c r="B16" s="316"/>
    </row>
    <row r="17" spans="1:3" ht="24.75" customHeight="1" x14ac:dyDescent="0.25">
      <c r="A17" s="16"/>
      <c r="B17" s="16"/>
    </row>
    <row r="18" spans="1:3" ht="24.75" customHeight="1" x14ac:dyDescent="0.25">
      <c r="A18" s="16"/>
      <c r="B18" s="366"/>
      <c r="C18" s="20"/>
    </row>
    <row r="19" spans="1:3" ht="24.75" customHeight="1" x14ac:dyDescent="0.25">
      <c r="A19" s="16"/>
      <c r="B19" s="366"/>
      <c r="C19" s="20"/>
    </row>
    <row r="20" spans="1:3" ht="24.75" customHeight="1" x14ac:dyDescent="0.25">
      <c r="A20" s="16"/>
      <c r="B20" s="366"/>
      <c r="C20" s="20"/>
    </row>
    <row r="21" spans="1:3" ht="24.75" customHeight="1" x14ac:dyDescent="0.25">
      <c r="A21" s="16"/>
      <c r="B21" s="366"/>
      <c r="C21" s="20"/>
    </row>
    <row r="22" spans="1:3" ht="24.75" customHeight="1" x14ac:dyDescent="0.25">
      <c r="A22" s="16"/>
      <c r="B22" s="366"/>
      <c r="C22" s="20"/>
    </row>
    <row r="23" spans="1:3" ht="24.75" customHeight="1" x14ac:dyDescent="0.25">
      <c r="A23" s="484" t="str">
        <f>+A4</f>
        <v>NOTA 12</v>
      </c>
      <c r="B23" s="484"/>
    </row>
    <row r="24" spans="1:3" ht="24.75" customHeight="1" x14ac:dyDescent="0.25">
      <c r="A24" s="484" t="str">
        <f>+A5</f>
        <v>Cédula de detalle de cuentas</v>
      </c>
      <c r="B24" s="484"/>
    </row>
    <row r="25" spans="1:3" ht="24.75" customHeight="1" x14ac:dyDescent="0.25">
      <c r="A25" s="484" t="s">
        <v>277</v>
      </c>
      <c r="B25" s="484"/>
    </row>
    <row r="26" spans="1:3" ht="24.75" customHeight="1" x14ac:dyDescent="0.25">
      <c r="A26" s="496">
        <v>45504</v>
      </c>
      <c r="B26" s="496"/>
    </row>
    <row r="27" spans="1:3" ht="24.75" customHeight="1" thickBot="1" x14ac:dyDescent="0.3">
      <c r="A27" s="74"/>
    </row>
    <row r="28" spans="1:3" ht="24.75" customHeight="1" thickBot="1" x14ac:dyDescent="0.3">
      <c r="A28" s="76" t="s">
        <v>183</v>
      </c>
      <c r="B28" s="78" t="s">
        <v>156</v>
      </c>
    </row>
    <row r="29" spans="1:3" ht="24.75" customHeight="1" x14ac:dyDescent="0.4">
      <c r="A29" s="79" t="s">
        <v>745</v>
      </c>
      <c r="B29" s="85">
        <v>2120.0700000000002</v>
      </c>
    </row>
    <row r="30" spans="1:3" ht="24.75" customHeight="1" x14ac:dyDescent="0.4">
      <c r="A30" s="81"/>
      <c r="B30" s="88">
        <f>SUM(B29:B29)</f>
        <v>2120.0700000000002</v>
      </c>
    </row>
    <row r="31" spans="1:3" ht="24.75" customHeight="1" thickBot="1" x14ac:dyDescent="0.3">
      <c r="A31" s="89"/>
      <c r="B31" s="255">
        <f>+B30-B13</f>
        <v>2120.0700000000002</v>
      </c>
    </row>
    <row r="32" spans="1:3" ht="24.75" customHeight="1" x14ac:dyDescent="0.25">
      <c r="B32" s="253"/>
    </row>
    <row r="33" spans="1:2" ht="24.75" customHeight="1" x14ac:dyDescent="0.25">
      <c r="A33" s="16"/>
      <c r="B33" s="16"/>
    </row>
    <row r="34" spans="1:2" ht="24.75" customHeight="1" x14ac:dyDescent="0.25">
      <c r="A34" s="484" t="str">
        <f>+A4</f>
        <v>NOTA 12</v>
      </c>
      <c r="B34" s="484"/>
    </row>
    <row r="35" spans="1:2" ht="24.75" customHeight="1" x14ac:dyDescent="0.25">
      <c r="A35" s="484" t="str">
        <f>+A5</f>
        <v>Cédula de detalle de cuentas</v>
      </c>
      <c r="B35" s="484"/>
    </row>
    <row r="36" spans="1:2" ht="24.75" customHeight="1" x14ac:dyDescent="0.25">
      <c r="A36" s="484" t="s">
        <v>278</v>
      </c>
      <c r="B36" s="484"/>
    </row>
    <row r="37" spans="1:2" ht="24.75" customHeight="1" x14ac:dyDescent="0.25">
      <c r="A37" s="496">
        <v>45504</v>
      </c>
      <c r="B37" s="496"/>
    </row>
    <row r="38" spans="1:2" ht="24.75" customHeight="1" thickBot="1" x14ac:dyDescent="0.3">
      <c r="A38" s="74"/>
      <c r="B38" s="53"/>
    </row>
    <row r="39" spans="1:2" ht="24.75" customHeight="1" thickBot="1" x14ac:dyDescent="0.3">
      <c r="A39" s="76" t="s">
        <v>183</v>
      </c>
      <c r="B39" s="78" t="s">
        <v>156</v>
      </c>
    </row>
    <row r="40" spans="1:2" ht="24.75" customHeight="1" x14ac:dyDescent="0.4">
      <c r="A40" s="79" t="s">
        <v>745</v>
      </c>
      <c r="B40" s="85">
        <v>21200.7</v>
      </c>
    </row>
    <row r="41" spans="1:2" ht="24.75" customHeight="1" x14ac:dyDescent="0.4">
      <c r="A41" s="81"/>
      <c r="B41" s="88">
        <f>SUM(B40:B40)</f>
        <v>21200.7</v>
      </c>
    </row>
    <row r="42" spans="1:2" ht="24.75" customHeight="1" thickBot="1" x14ac:dyDescent="0.3">
      <c r="A42" s="89"/>
      <c r="B42" s="256">
        <f>+B14-B41</f>
        <v>-21200.7</v>
      </c>
    </row>
    <row r="43" spans="1:2" ht="24.75" customHeight="1" x14ac:dyDescent="0.25">
      <c r="B43" s="253"/>
    </row>
    <row r="44" spans="1:2" ht="24.75" customHeight="1" x14ac:dyDescent="0.25">
      <c r="A44" s="16"/>
      <c r="B44" s="16"/>
    </row>
  </sheetData>
  <mergeCells count="12">
    <mergeCell ref="A35:B35"/>
    <mergeCell ref="A36:B36"/>
    <mergeCell ref="A37:B37"/>
    <mergeCell ref="A23:B23"/>
    <mergeCell ref="A24:B24"/>
    <mergeCell ref="A25:B25"/>
    <mergeCell ref="A26:B26"/>
    <mergeCell ref="A4:B4"/>
    <mergeCell ref="A5:B5"/>
    <mergeCell ref="A6:B6"/>
    <mergeCell ref="A7:B7"/>
    <mergeCell ref="A34:B34"/>
  </mergeCells>
  <pageMargins left="0.70866141732283472" right="0.70866141732283472" top="0.74803149606299213" bottom="0.74803149606299213" header="0.31496062992125984" footer="0.31496062992125984"/>
  <pageSetup orientation="portrait" r:id="rId1"/>
  <rowBreaks count="1" manualBreakCount="1">
    <brk id="19" max="1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D17"/>
  <sheetViews>
    <sheetView zoomScaleNormal="100" workbookViewId="0">
      <selection activeCell="D13" sqref="D13"/>
    </sheetView>
  </sheetViews>
  <sheetFormatPr baseColWidth="10" defaultColWidth="9.140625" defaultRowHeight="24.75" customHeight="1" x14ac:dyDescent="0.25"/>
  <cols>
    <col min="1" max="1" width="45.7109375" style="1" customWidth="1"/>
    <col min="2" max="2" width="23.42578125" style="1" customWidth="1"/>
    <col min="3" max="3" width="9.140625" style="1"/>
    <col min="4" max="4" width="19" style="1" bestFit="1" customWidth="1"/>
    <col min="5" max="16384" width="9.140625" style="1"/>
  </cols>
  <sheetData>
    <row r="2" spans="1:4" ht="24.75" customHeight="1" x14ac:dyDescent="0.25">
      <c r="A2" s="484"/>
      <c r="B2" s="484"/>
    </row>
    <row r="3" spans="1:4" ht="24.75" customHeight="1" x14ac:dyDescent="0.25">
      <c r="A3" s="484" t="s">
        <v>673</v>
      </c>
      <c r="B3" s="484"/>
    </row>
    <row r="4" spans="1:4" ht="24.75" customHeight="1" x14ac:dyDescent="0.25">
      <c r="A4" s="484" t="s">
        <v>170</v>
      </c>
      <c r="B4" s="484"/>
    </row>
    <row r="5" spans="1:4" ht="24.75" customHeight="1" x14ac:dyDescent="0.25">
      <c r="A5" s="484" t="s">
        <v>273</v>
      </c>
      <c r="B5" s="484"/>
    </row>
    <row r="6" spans="1:4" ht="24.75" customHeight="1" x14ac:dyDescent="0.25">
      <c r="A6" s="496">
        <v>45504</v>
      </c>
      <c r="B6" s="496"/>
    </row>
    <row r="7" spans="1:4" ht="24.75" customHeight="1" thickBot="1" x14ac:dyDescent="0.3"/>
    <row r="8" spans="1:4" ht="24.75" customHeight="1" thickBot="1" x14ac:dyDescent="0.3">
      <c r="A8" s="76" t="s">
        <v>183</v>
      </c>
      <c r="B8" s="78" t="s">
        <v>156</v>
      </c>
    </row>
    <row r="9" spans="1:4" ht="24.75" customHeight="1" x14ac:dyDescent="0.4">
      <c r="A9" s="65" t="s">
        <v>589</v>
      </c>
      <c r="B9" s="257">
        <v>84504303.310000002</v>
      </c>
      <c r="D9" s="429"/>
    </row>
    <row r="10" spans="1:4" ht="24.75" customHeight="1" x14ac:dyDescent="0.4">
      <c r="A10" s="258" t="s">
        <v>168</v>
      </c>
      <c r="B10" s="96">
        <f>SUM(B9:B9)</f>
        <v>84504303.310000002</v>
      </c>
      <c r="D10" s="20"/>
    </row>
    <row r="11" spans="1:4" ht="24.75" customHeight="1" x14ac:dyDescent="0.25">
      <c r="A11" s="127"/>
      <c r="B11" s="127"/>
    </row>
    <row r="13" spans="1:4" ht="24.75" customHeight="1" x14ac:dyDescent="0.25">
      <c r="B13" s="469"/>
    </row>
    <row r="15" spans="1:4" ht="24.75" customHeight="1" x14ac:dyDescent="0.25">
      <c r="B15" s="2"/>
    </row>
    <row r="17" spans="1:2" ht="24.75" customHeight="1" x14ac:dyDescent="0.25">
      <c r="A17" s="484"/>
      <c r="B17" s="484"/>
    </row>
  </sheetData>
  <mergeCells count="6">
    <mergeCell ref="A17:B17"/>
    <mergeCell ref="A3:B3"/>
    <mergeCell ref="A5:B5"/>
    <mergeCell ref="A6:B6"/>
    <mergeCell ref="A2:B2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rowBreaks count="1" manualBreakCount="1">
    <brk id="14" max="16383" man="1"/>
  </row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16"/>
  <sheetViews>
    <sheetView topLeftCell="A7" zoomScale="140" zoomScaleNormal="140" workbookViewId="0">
      <selection activeCell="D13" sqref="D13"/>
    </sheetView>
  </sheetViews>
  <sheetFormatPr baseColWidth="10" defaultRowHeight="12.75" x14ac:dyDescent="0.2"/>
  <sheetData>
    <row r="1" spans="1:2" x14ac:dyDescent="0.2">
      <c r="B1" t="s">
        <v>138</v>
      </c>
    </row>
    <row r="3" spans="1:2" x14ac:dyDescent="0.2">
      <c r="A3">
        <v>1</v>
      </c>
      <c r="B3" t="s">
        <v>134</v>
      </c>
    </row>
    <row r="4" spans="1:2" x14ac:dyDescent="0.2">
      <c r="A4">
        <v>2</v>
      </c>
      <c r="B4" t="s">
        <v>139</v>
      </c>
    </row>
    <row r="5" spans="1:2" x14ac:dyDescent="0.2">
      <c r="A5">
        <v>3</v>
      </c>
      <c r="B5" t="s">
        <v>142</v>
      </c>
    </row>
    <row r="6" spans="1:2" x14ac:dyDescent="0.2">
      <c r="A6">
        <v>4</v>
      </c>
      <c r="B6" t="s">
        <v>140</v>
      </c>
    </row>
    <row r="7" spans="1:2" x14ac:dyDescent="0.2">
      <c r="A7">
        <v>5</v>
      </c>
      <c r="B7" t="s">
        <v>135</v>
      </c>
    </row>
    <row r="8" spans="1:2" x14ac:dyDescent="0.2">
      <c r="A8">
        <v>6</v>
      </c>
      <c r="B8" t="s">
        <v>136</v>
      </c>
    </row>
    <row r="9" spans="1:2" x14ac:dyDescent="0.2">
      <c r="A9">
        <v>7</v>
      </c>
      <c r="B9" t="s">
        <v>137</v>
      </c>
    </row>
    <row r="10" spans="1:2" x14ac:dyDescent="0.2">
      <c r="A10">
        <v>8</v>
      </c>
      <c r="B10" s="318" t="s">
        <v>622</v>
      </c>
    </row>
    <row r="11" spans="1:2" x14ac:dyDescent="0.2">
      <c r="A11">
        <v>9</v>
      </c>
      <c r="B11" t="s">
        <v>141</v>
      </c>
    </row>
    <row r="12" spans="1:2" x14ac:dyDescent="0.2">
      <c r="A12">
        <v>10</v>
      </c>
      <c r="B12" t="s">
        <v>145</v>
      </c>
    </row>
    <row r="13" spans="1:2" x14ac:dyDescent="0.2">
      <c r="A13">
        <v>11</v>
      </c>
      <c r="B13" s="318" t="s">
        <v>674</v>
      </c>
    </row>
    <row r="14" spans="1:2" x14ac:dyDescent="0.2">
      <c r="A14">
        <v>12</v>
      </c>
      <c r="B14" t="s">
        <v>143</v>
      </c>
    </row>
    <row r="16" spans="1:2" x14ac:dyDescent="0.2">
      <c r="B16" t="s">
        <v>144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B2:N202"/>
  <sheetViews>
    <sheetView topLeftCell="B112" zoomScaleNormal="100" zoomScaleSheetLayoutView="90" workbookViewId="0">
      <selection activeCell="D116" sqref="D116"/>
    </sheetView>
  </sheetViews>
  <sheetFormatPr baseColWidth="10" defaultColWidth="11.5703125" defaultRowHeight="15.75" x14ac:dyDescent="0.25"/>
  <cols>
    <col min="1" max="1" width="4.5703125" style="1" customWidth="1"/>
    <col min="2" max="2" width="74.140625" style="1" customWidth="1"/>
    <col min="3" max="3" width="14.28515625" style="19" customWidth="1"/>
    <col min="4" max="5" width="23.42578125" style="55" bestFit="1" customWidth="1"/>
    <col min="6" max="6" width="25.85546875" style="55" customWidth="1"/>
    <col min="7" max="7" width="2.5703125" style="1" customWidth="1"/>
    <col min="8" max="8" width="28.42578125" style="1" customWidth="1"/>
    <col min="9" max="9" width="15.85546875" style="1" bestFit="1" customWidth="1"/>
    <col min="10" max="10" width="11.5703125" style="1"/>
    <col min="11" max="11" width="13.5703125" style="1" customWidth="1"/>
    <col min="12" max="12" width="12.85546875" style="1" bestFit="1" customWidth="1"/>
    <col min="13" max="13" width="11.5703125" style="1"/>
    <col min="14" max="14" width="13.5703125" style="1" customWidth="1"/>
    <col min="15" max="16384" width="11.5703125" style="1"/>
  </cols>
  <sheetData>
    <row r="2" spans="2:6" ht="27" customHeight="1" x14ac:dyDescent="0.25"/>
    <row r="4" spans="2:6" s="7" customFormat="1" ht="24.75" customHeight="1" x14ac:dyDescent="0.3">
      <c r="B4" s="52" t="s">
        <v>100</v>
      </c>
      <c r="C4" s="380"/>
      <c r="D4" s="5"/>
      <c r="E4" s="5"/>
      <c r="F4" s="5"/>
    </row>
    <row r="5" spans="2:6" s="7" customFormat="1" ht="24.75" customHeight="1" x14ac:dyDescent="0.3">
      <c r="B5" s="52" t="s">
        <v>814</v>
      </c>
      <c r="C5" s="380"/>
      <c r="D5" s="5"/>
      <c r="E5" s="5"/>
      <c r="F5" s="5"/>
    </row>
    <row r="6" spans="2:6" s="7" customFormat="1" ht="24.75" customHeight="1" x14ac:dyDescent="0.3">
      <c r="B6" s="52" t="s">
        <v>455</v>
      </c>
      <c r="C6" s="380"/>
      <c r="D6" s="5"/>
      <c r="E6" s="5"/>
      <c r="F6" s="5"/>
    </row>
    <row r="7" spans="2:6" s="7" customFormat="1" ht="18.75" x14ac:dyDescent="0.3">
      <c r="C7" s="380"/>
      <c r="D7" s="5"/>
      <c r="E7" s="5"/>
      <c r="F7" s="5"/>
    </row>
    <row r="8" spans="2:6" s="7" customFormat="1" ht="37.5" customHeight="1" x14ac:dyDescent="0.3">
      <c r="C8" s="381" t="s">
        <v>77</v>
      </c>
      <c r="D8" s="381" t="s">
        <v>129</v>
      </c>
      <c r="E8" s="381" t="s">
        <v>130</v>
      </c>
      <c r="F8" s="381" t="s">
        <v>67</v>
      </c>
    </row>
    <row r="9" spans="2:6" x14ac:dyDescent="0.25">
      <c r="C9" s="382"/>
      <c r="D9" s="59"/>
      <c r="E9" s="59"/>
      <c r="F9" s="59"/>
    </row>
    <row r="10" spans="2:6" ht="20.100000000000001" customHeight="1" x14ac:dyDescent="0.25">
      <c r="C10" s="382" t="s">
        <v>9</v>
      </c>
      <c r="D10" s="51"/>
      <c r="E10" s="51"/>
      <c r="F10" s="51"/>
    </row>
    <row r="11" spans="2:6" ht="24.75" customHeight="1" x14ac:dyDescent="0.25">
      <c r="B11" s="16" t="s">
        <v>341</v>
      </c>
      <c r="C11" s="382">
        <v>15</v>
      </c>
      <c r="E11" s="51"/>
      <c r="F11" s="51"/>
    </row>
    <row r="12" spans="2:6" ht="20.100000000000001" customHeight="1" x14ac:dyDescent="0.25">
      <c r="B12" s="1" t="s">
        <v>592</v>
      </c>
      <c r="C12" s="382"/>
      <c r="D12" s="55">
        <v>63343103.200000003</v>
      </c>
      <c r="E12" s="51">
        <v>63343103.200000003</v>
      </c>
      <c r="F12" s="51">
        <f>D12-E12</f>
        <v>0</v>
      </c>
    </row>
    <row r="13" spans="2:6" ht="20.100000000000001" customHeight="1" x14ac:dyDescent="0.25">
      <c r="B13" s="383" t="s">
        <v>593</v>
      </c>
      <c r="C13" s="382"/>
      <c r="D13" s="55">
        <v>129310225.03</v>
      </c>
      <c r="E13" s="51">
        <v>129310225.03</v>
      </c>
      <c r="F13" s="51">
        <f>D13-E13</f>
        <v>0</v>
      </c>
    </row>
    <row r="14" spans="2:6" ht="20.100000000000001" customHeight="1" x14ac:dyDescent="0.25">
      <c r="B14" s="383" t="s">
        <v>594</v>
      </c>
      <c r="C14" s="382"/>
      <c r="D14" s="55">
        <v>208996907.16999999</v>
      </c>
      <c r="E14" s="51">
        <v>208996907.16999999</v>
      </c>
      <c r="F14" s="51">
        <f>D14-E14</f>
        <v>0</v>
      </c>
    </row>
    <row r="15" spans="2:6" ht="15.75" customHeight="1" x14ac:dyDescent="0.25">
      <c r="C15" s="358" t="s">
        <v>799</v>
      </c>
      <c r="E15" s="51"/>
      <c r="F15" s="51"/>
    </row>
    <row r="16" spans="2:6" ht="41.25" customHeight="1" x14ac:dyDescent="0.25">
      <c r="B16" s="367" t="s">
        <v>342</v>
      </c>
      <c r="C16" s="382"/>
      <c r="D16" s="54">
        <f>SUM(D12:D15)</f>
        <v>401650235.39999998</v>
      </c>
      <c r="E16" s="384">
        <f>SUM(E12:E15)</f>
        <v>401650235.39999998</v>
      </c>
      <c r="F16" s="384">
        <f>SUM(F12:F15)</f>
        <v>0</v>
      </c>
    </row>
    <row r="17" spans="2:8" ht="20.100000000000001" customHeight="1" x14ac:dyDescent="0.25">
      <c r="C17" s="382" t="s">
        <v>9</v>
      </c>
      <c r="E17" s="51"/>
      <c r="F17" s="51"/>
    </row>
    <row r="18" spans="2:8" ht="20.100000000000001" customHeight="1" x14ac:dyDescent="0.25">
      <c r="C18" s="382" t="s">
        <v>9</v>
      </c>
      <c r="D18" s="435"/>
      <c r="E18" s="51"/>
      <c r="F18" s="51"/>
    </row>
    <row r="19" spans="2:8" ht="24.75" customHeight="1" x14ac:dyDescent="0.25">
      <c r="B19" s="16" t="s">
        <v>78</v>
      </c>
      <c r="C19" s="382">
        <v>16</v>
      </c>
      <c r="E19" s="51"/>
      <c r="F19" s="51"/>
    </row>
    <row r="20" spans="2:8" ht="20.100000000000001" customHeight="1" x14ac:dyDescent="0.25">
      <c r="B20" s="1" t="s">
        <v>50</v>
      </c>
      <c r="C20" s="382"/>
      <c r="D20" s="295">
        <v>101626803.04000001</v>
      </c>
      <c r="E20" s="295">
        <v>83886516.010000005</v>
      </c>
      <c r="F20" s="51">
        <f>D20-E20</f>
        <v>17740287.030000001</v>
      </c>
      <c r="H20" s="20"/>
    </row>
    <row r="21" spans="2:8" ht="20.100000000000001" customHeight="1" x14ac:dyDescent="0.25">
      <c r="C21" s="358" t="s">
        <v>799</v>
      </c>
      <c r="E21" s="51"/>
      <c r="F21" s="51"/>
    </row>
    <row r="22" spans="2:8" s="16" customFormat="1" ht="24.75" customHeight="1" x14ac:dyDescent="0.25">
      <c r="B22" s="16" t="s">
        <v>79</v>
      </c>
      <c r="C22" s="382"/>
      <c r="D22" s="54">
        <f>SUM(D20:D20)</f>
        <v>101626803.04000001</v>
      </c>
      <c r="E22" s="384">
        <f>SUM(E20:E20)</f>
        <v>83886516.010000005</v>
      </c>
      <c r="F22" s="384">
        <f>SUM(F20:F20)</f>
        <v>17740287.030000001</v>
      </c>
    </row>
    <row r="23" spans="2:8" ht="20.100000000000001" customHeight="1" x14ac:dyDescent="0.25">
      <c r="C23" s="382" t="s">
        <v>9</v>
      </c>
      <c r="D23" s="295"/>
      <c r="E23" s="51"/>
      <c r="F23" s="51"/>
    </row>
    <row r="24" spans="2:8" ht="20.100000000000001" customHeight="1" x14ac:dyDescent="0.25">
      <c r="C24" s="382" t="s">
        <v>9</v>
      </c>
      <c r="E24" s="51"/>
      <c r="F24" s="51"/>
    </row>
    <row r="25" spans="2:8" ht="24.75" customHeight="1" x14ac:dyDescent="0.25">
      <c r="B25" s="16" t="s">
        <v>80</v>
      </c>
      <c r="C25" s="382">
        <v>17</v>
      </c>
      <c r="E25" s="51"/>
      <c r="F25" s="51"/>
    </row>
    <row r="26" spans="2:8" ht="20.100000000000001" customHeight="1" x14ac:dyDescent="0.25">
      <c r="B26" s="1" t="s">
        <v>51</v>
      </c>
      <c r="C26" s="382" t="s">
        <v>9</v>
      </c>
      <c r="D26" s="295">
        <v>135840.68</v>
      </c>
      <c r="E26" s="295">
        <v>135840.68</v>
      </c>
      <c r="F26" s="51">
        <f>D26-E26</f>
        <v>0</v>
      </c>
    </row>
    <row r="27" spans="2:8" ht="20.100000000000001" customHeight="1" x14ac:dyDescent="0.25">
      <c r="C27" s="358" t="s">
        <v>799</v>
      </c>
      <c r="E27" s="51"/>
      <c r="F27" s="51"/>
    </row>
    <row r="28" spans="2:8" s="16" customFormat="1" ht="24.75" customHeight="1" x14ac:dyDescent="0.25">
      <c r="B28" s="16" t="s">
        <v>81</v>
      </c>
      <c r="C28" s="382"/>
      <c r="D28" s="54">
        <f>SUM(D26:D26)</f>
        <v>135840.68</v>
      </c>
      <c r="E28" s="384">
        <f>SUM(E26:E26)</f>
        <v>135840.68</v>
      </c>
      <c r="F28" s="384">
        <f>SUM(F26:F26)</f>
        <v>0</v>
      </c>
    </row>
    <row r="29" spans="2:8" ht="20.100000000000001" customHeight="1" x14ac:dyDescent="0.25">
      <c r="C29" s="382" t="s">
        <v>9</v>
      </c>
      <c r="E29" s="51"/>
      <c r="F29" s="51"/>
    </row>
    <row r="30" spans="2:8" ht="20.100000000000001" customHeight="1" x14ac:dyDescent="0.25">
      <c r="C30" s="382" t="s">
        <v>9</v>
      </c>
      <c r="E30" s="51"/>
      <c r="F30" s="51"/>
    </row>
    <row r="31" spans="2:8" ht="24.75" customHeight="1" x14ac:dyDescent="0.25">
      <c r="B31" s="16" t="s">
        <v>82</v>
      </c>
      <c r="C31" s="382">
        <v>18</v>
      </c>
      <c r="E31" s="51"/>
      <c r="F31" s="51"/>
    </row>
    <row r="32" spans="2:8" ht="20.100000000000001" customHeight="1" x14ac:dyDescent="0.25">
      <c r="B32" s="1" t="s">
        <v>83</v>
      </c>
      <c r="C32" s="382" t="s">
        <v>9</v>
      </c>
      <c r="D32" s="295">
        <v>58616306.670000002</v>
      </c>
      <c r="E32" s="295">
        <v>50251786.670000002</v>
      </c>
      <c r="F32" s="51">
        <f t="shared" ref="F32:F51" si="0">D32-E32</f>
        <v>8364520</v>
      </c>
    </row>
    <row r="33" spans="2:6" ht="20.100000000000001" hidden="1" customHeight="1" x14ac:dyDescent="0.25">
      <c r="B33" s="1" t="s">
        <v>186</v>
      </c>
      <c r="C33" s="382" t="s">
        <v>9</v>
      </c>
      <c r="D33" s="55">
        <v>0</v>
      </c>
      <c r="E33" s="55">
        <v>0</v>
      </c>
      <c r="F33" s="51">
        <f t="shared" si="0"/>
        <v>0</v>
      </c>
    </row>
    <row r="34" spans="2:6" ht="20.100000000000001" hidden="1" customHeight="1" x14ac:dyDescent="0.25">
      <c r="B34" s="1" t="s">
        <v>460</v>
      </c>
      <c r="C34" s="382"/>
      <c r="D34" s="55">
        <v>0</v>
      </c>
      <c r="E34" s="55">
        <v>0</v>
      </c>
      <c r="F34" s="51">
        <f t="shared" si="0"/>
        <v>0</v>
      </c>
    </row>
    <row r="35" spans="2:6" ht="20.100000000000001" hidden="1" customHeight="1" x14ac:dyDescent="0.25">
      <c r="B35" s="1" t="s">
        <v>252</v>
      </c>
      <c r="C35" s="382"/>
      <c r="D35" s="55">
        <v>0</v>
      </c>
      <c r="E35" s="55">
        <v>0</v>
      </c>
      <c r="F35" s="51">
        <f t="shared" si="0"/>
        <v>0</v>
      </c>
    </row>
    <row r="36" spans="2:6" ht="20.100000000000001" customHeight="1" x14ac:dyDescent="0.25">
      <c r="B36" s="1" t="s">
        <v>187</v>
      </c>
      <c r="C36" s="382" t="s">
        <v>9</v>
      </c>
      <c r="D36" s="55">
        <v>3567148.78</v>
      </c>
      <c r="E36" s="55">
        <v>3017673.78</v>
      </c>
      <c r="F36" s="51">
        <f t="shared" si="0"/>
        <v>549475</v>
      </c>
    </row>
    <row r="37" spans="2:6" ht="20.100000000000001" customHeight="1" x14ac:dyDescent="0.25">
      <c r="B37" s="1" t="s">
        <v>461</v>
      </c>
      <c r="C37" s="382"/>
      <c r="D37" s="55">
        <v>107768.67</v>
      </c>
      <c r="E37" s="55">
        <v>93926.32</v>
      </c>
      <c r="F37" s="51">
        <f t="shared" si="0"/>
        <v>13842.349999999991</v>
      </c>
    </row>
    <row r="38" spans="2:6" ht="20.100000000000001" customHeight="1" x14ac:dyDescent="0.25">
      <c r="B38" s="1" t="s">
        <v>462</v>
      </c>
      <c r="C38" s="382"/>
      <c r="D38" s="55">
        <v>4900000</v>
      </c>
      <c r="E38" s="55">
        <v>4200000</v>
      </c>
      <c r="F38" s="51">
        <f t="shared" si="0"/>
        <v>700000</v>
      </c>
    </row>
    <row r="39" spans="2:6" ht="20.100000000000001" customHeight="1" x14ac:dyDescent="0.25">
      <c r="B39" s="1" t="s">
        <v>188</v>
      </c>
      <c r="C39" s="382" t="s">
        <v>9</v>
      </c>
      <c r="D39" s="55">
        <v>3710479.98</v>
      </c>
      <c r="E39" s="55">
        <v>3190619.98</v>
      </c>
      <c r="F39" s="51">
        <f t="shared" si="0"/>
        <v>519860</v>
      </c>
    </row>
    <row r="40" spans="2:6" ht="20.100000000000001" customHeight="1" x14ac:dyDescent="0.25">
      <c r="B40" s="1" t="s">
        <v>463</v>
      </c>
      <c r="C40" s="382"/>
      <c r="D40" s="55">
        <v>6090000</v>
      </c>
      <c r="E40" s="55">
        <v>5220000</v>
      </c>
      <c r="F40" s="51">
        <f t="shared" si="0"/>
        <v>870000</v>
      </c>
    </row>
    <row r="41" spans="2:6" ht="20.100000000000001" customHeight="1" x14ac:dyDescent="0.25">
      <c r="B41" s="1" t="s">
        <v>279</v>
      </c>
      <c r="C41" s="382"/>
      <c r="D41" s="55">
        <v>406233</v>
      </c>
      <c r="E41" s="55">
        <v>192000</v>
      </c>
      <c r="F41" s="51">
        <f t="shared" si="0"/>
        <v>214233</v>
      </c>
    </row>
    <row r="42" spans="2:6" ht="20.100000000000001" customHeight="1" x14ac:dyDescent="0.25">
      <c r="B42" s="1" t="s">
        <v>189</v>
      </c>
      <c r="C42" s="382"/>
      <c r="D42" s="55">
        <v>67260</v>
      </c>
      <c r="E42" s="55">
        <v>67260</v>
      </c>
      <c r="F42" s="51">
        <f t="shared" si="0"/>
        <v>0</v>
      </c>
    </row>
    <row r="43" spans="2:6" ht="20.100000000000001" customHeight="1" x14ac:dyDescent="0.25">
      <c r="B43" s="1" t="s">
        <v>343</v>
      </c>
      <c r="C43" s="382"/>
      <c r="D43" s="55">
        <v>140000</v>
      </c>
      <c r="E43" s="55">
        <v>140000</v>
      </c>
      <c r="F43" s="51">
        <f t="shared" si="0"/>
        <v>0</v>
      </c>
    </row>
    <row r="44" spans="2:6" ht="20.100000000000001" customHeight="1" x14ac:dyDescent="0.25">
      <c r="B44" s="1" t="s">
        <v>344</v>
      </c>
      <c r="C44" s="382"/>
      <c r="D44" s="55">
        <v>151283.31</v>
      </c>
      <c r="E44" s="55">
        <v>151283.31</v>
      </c>
      <c r="F44" s="51">
        <f t="shared" si="0"/>
        <v>0</v>
      </c>
    </row>
    <row r="45" spans="2:6" ht="20.100000000000001" customHeight="1" x14ac:dyDescent="0.25">
      <c r="B45" s="1" t="s">
        <v>52</v>
      </c>
      <c r="C45" s="382" t="s">
        <v>9</v>
      </c>
      <c r="D45" s="55">
        <v>5652430</v>
      </c>
      <c r="E45" s="55">
        <v>4844940</v>
      </c>
      <c r="F45" s="51">
        <f t="shared" si="0"/>
        <v>807490</v>
      </c>
    </row>
    <row r="46" spans="2:6" ht="20.100000000000001" customHeight="1" x14ac:dyDescent="0.25">
      <c r="B46" s="1" t="s">
        <v>54</v>
      </c>
      <c r="C46" s="382" t="s">
        <v>9</v>
      </c>
      <c r="D46" s="55">
        <v>25894925</v>
      </c>
      <c r="E46" s="55">
        <v>22195650</v>
      </c>
      <c r="F46" s="51">
        <f t="shared" si="0"/>
        <v>3699275</v>
      </c>
    </row>
    <row r="47" spans="2:6" ht="20.100000000000001" customHeight="1" x14ac:dyDescent="0.25">
      <c r="B47" s="1" t="s">
        <v>53</v>
      </c>
      <c r="C47" s="382" t="s">
        <v>9</v>
      </c>
      <c r="D47" s="55">
        <f>1115800+223575</f>
        <v>1339375</v>
      </c>
      <c r="E47" s="55">
        <v>1339375</v>
      </c>
      <c r="F47" s="51">
        <f t="shared" si="0"/>
        <v>0</v>
      </c>
    </row>
    <row r="48" spans="2:6" ht="20.100000000000001" customHeight="1" x14ac:dyDescent="0.25">
      <c r="B48" s="1" t="s">
        <v>55</v>
      </c>
      <c r="C48" s="382" t="s">
        <v>9</v>
      </c>
      <c r="D48" s="55">
        <v>5841073.4699999997</v>
      </c>
      <c r="E48" s="55">
        <v>5140019.79</v>
      </c>
      <c r="F48" s="51">
        <f t="shared" si="0"/>
        <v>701053.6799999997</v>
      </c>
    </row>
    <row r="49" spans="2:8" ht="20.100000000000001" customHeight="1" x14ac:dyDescent="0.25">
      <c r="B49" s="1" t="s">
        <v>807</v>
      </c>
      <c r="C49" s="382" t="s">
        <v>9</v>
      </c>
      <c r="D49" s="55">
        <v>10000</v>
      </c>
      <c r="E49" s="55">
        <v>10000</v>
      </c>
      <c r="F49" s="51">
        <f t="shared" si="0"/>
        <v>0</v>
      </c>
    </row>
    <row r="50" spans="2:8" ht="20.100000000000001" customHeight="1" x14ac:dyDescent="0.25">
      <c r="B50" s="1" t="s">
        <v>56</v>
      </c>
      <c r="C50" s="382" t="s">
        <v>9</v>
      </c>
      <c r="D50" s="55">
        <v>2226291.0499999998</v>
      </c>
      <c r="E50" s="55">
        <v>1908439.29</v>
      </c>
      <c r="F50" s="51">
        <f t="shared" si="0"/>
        <v>317851.75999999978</v>
      </c>
    </row>
    <row r="51" spans="2:8" ht="20.100000000000001" customHeight="1" x14ac:dyDescent="0.25">
      <c r="B51" s="1" t="s">
        <v>464</v>
      </c>
      <c r="C51" s="382" t="s">
        <v>9</v>
      </c>
      <c r="D51" s="55">
        <v>7932124.0700000003</v>
      </c>
      <c r="E51" s="55">
        <v>6796326.2999999998</v>
      </c>
      <c r="F51" s="51">
        <f t="shared" si="0"/>
        <v>1135797.7700000005</v>
      </c>
    </row>
    <row r="52" spans="2:8" ht="20.100000000000001" customHeight="1" x14ac:dyDescent="0.25">
      <c r="C52" s="358" t="s">
        <v>799</v>
      </c>
      <c r="E52" s="51"/>
      <c r="F52" s="51"/>
    </row>
    <row r="53" spans="2:8" s="16" customFormat="1" ht="24.75" customHeight="1" x14ac:dyDescent="0.25">
      <c r="B53" s="16" t="s">
        <v>84</v>
      </c>
      <c r="C53" s="382"/>
      <c r="D53" s="54">
        <f>SUM(D32:D51)</f>
        <v>126652699</v>
      </c>
      <c r="E53" s="384">
        <f>SUM(E32:E51)</f>
        <v>108759300.44000001</v>
      </c>
      <c r="F53" s="384">
        <f>SUM(F32:F51)</f>
        <v>17893398.559999999</v>
      </c>
    </row>
    <row r="54" spans="2:8" ht="20.100000000000001" customHeight="1" x14ac:dyDescent="0.25">
      <c r="C54" s="382" t="s">
        <v>9</v>
      </c>
      <c r="D54" s="295"/>
      <c r="E54" s="51"/>
      <c r="F54" s="51"/>
    </row>
    <row r="55" spans="2:8" ht="20.100000000000001" customHeight="1" x14ac:dyDescent="0.25">
      <c r="C55" s="382" t="s">
        <v>9</v>
      </c>
      <c r="D55" s="295"/>
      <c r="E55" s="51"/>
      <c r="F55" s="51"/>
    </row>
    <row r="56" spans="2:8" ht="24.75" customHeight="1" x14ac:dyDescent="0.25">
      <c r="B56" s="16" t="s">
        <v>238</v>
      </c>
      <c r="C56" s="382">
        <v>19</v>
      </c>
      <c r="E56" s="51"/>
      <c r="F56" s="51"/>
      <c r="H56" s="33"/>
    </row>
    <row r="57" spans="2:8" ht="20.100000000000001" customHeight="1" x14ac:dyDescent="0.25">
      <c r="B57" s="1" t="s">
        <v>190</v>
      </c>
      <c r="C57" s="382" t="s">
        <v>9</v>
      </c>
      <c r="D57" s="295">
        <v>1128639.44</v>
      </c>
      <c r="E57" s="295">
        <v>959950.24</v>
      </c>
      <c r="F57" s="51">
        <f>D57-E57</f>
        <v>168689.19999999995</v>
      </c>
    </row>
    <row r="58" spans="2:8" ht="20.100000000000001" customHeight="1" x14ac:dyDescent="0.25">
      <c r="B58" s="1" t="s">
        <v>85</v>
      </c>
      <c r="C58" s="382" t="s">
        <v>9</v>
      </c>
      <c r="D58" s="295">
        <v>1147973.6200000001</v>
      </c>
      <c r="E58" s="295">
        <v>972720.96</v>
      </c>
      <c r="F58" s="51">
        <f t="shared" ref="F58:F84" si="1">D58-E58</f>
        <v>175252.66000000015</v>
      </c>
    </row>
    <row r="59" spans="2:8" ht="20.100000000000001" customHeight="1" x14ac:dyDescent="0.25">
      <c r="B59" s="1" t="s">
        <v>86</v>
      </c>
      <c r="C59" s="382" t="s">
        <v>9</v>
      </c>
      <c r="D59" s="55">
        <v>2077784.82</v>
      </c>
      <c r="E59" s="55">
        <v>1761715.36</v>
      </c>
      <c r="F59" s="51">
        <f t="shared" si="1"/>
        <v>316069.45999999996</v>
      </c>
    </row>
    <row r="60" spans="2:8" ht="20.100000000000001" customHeight="1" x14ac:dyDescent="0.25">
      <c r="B60" s="1" t="s">
        <v>57</v>
      </c>
      <c r="C60" s="382" t="s">
        <v>9</v>
      </c>
      <c r="D60" s="295">
        <v>57492.28</v>
      </c>
      <c r="E60" s="295">
        <v>46857.120000000003</v>
      </c>
      <c r="F60" s="51">
        <f t="shared" si="1"/>
        <v>10635.159999999996</v>
      </c>
    </row>
    <row r="61" spans="2:8" ht="20.100000000000001" customHeight="1" x14ac:dyDescent="0.25">
      <c r="B61" s="1" t="s">
        <v>58</v>
      </c>
      <c r="C61" s="382" t="s">
        <v>9</v>
      </c>
      <c r="D61" s="295">
        <v>396081.2</v>
      </c>
      <c r="E61" s="295">
        <v>245091.04</v>
      </c>
      <c r="F61" s="51">
        <f t="shared" si="1"/>
        <v>150990.16</v>
      </c>
    </row>
    <row r="62" spans="2:8" ht="20.100000000000001" customHeight="1" x14ac:dyDescent="0.25">
      <c r="B62" s="1" t="s">
        <v>191</v>
      </c>
      <c r="C62" s="382" t="s">
        <v>9</v>
      </c>
      <c r="D62" s="295">
        <v>31400.32</v>
      </c>
      <c r="E62" s="295">
        <v>25718.03</v>
      </c>
      <c r="F62" s="51">
        <f t="shared" si="1"/>
        <v>5682.2900000000009</v>
      </c>
    </row>
    <row r="63" spans="2:8" ht="20.100000000000001" customHeight="1" x14ac:dyDescent="0.25">
      <c r="B63" s="1" t="s">
        <v>776</v>
      </c>
      <c r="C63" s="382"/>
      <c r="D63" s="295">
        <v>70800</v>
      </c>
      <c r="E63" s="295">
        <v>70800</v>
      </c>
      <c r="F63" s="51">
        <f>D63-E63</f>
        <v>0</v>
      </c>
    </row>
    <row r="64" spans="2:8" ht="20.100000000000001" customHeight="1" x14ac:dyDescent="0.25">
      <c r="B64" s="1" t="s">
        <v>806</v>
      </c>
      <c r="C64" s="382"/>
      <c r="D64" s="295">
        <v>2168.8000000000002</v>
      </c>
      <c r="E64" s="295">
        <v>2168.8000000000002</v>
      </c>
      <c r="F64" s="51">
        <f t="shared" si="1"/>
        <v>0</v>
      </c>
    </row>
    <row r="65" spans="2:8" ht="20.100000000000001" customHeight="1" x14ac:dyDescent="0.25">
      <c r="B65" s="1" t="s">
        <v>192</v>
      </c>
      <c r="C65" s="382"/>
      <c r="D65" s="295">
        <v>41933.089999999997</v>
      </c>
      <c r="E65" s="295">
        <v>41933.089999999997</v>
      </c>
      <c r="F65" s="51">
        <f t="shared" si="1"/>
        <v>0</v>
      </c>
    </row>
    <row r="66" spans="2:8" ht="20.100000000000001" customHeight="1" x14ac:dyDescent="0.25">
      <c r="B66" s="1" t="s">
        <v>496</v>
      </c>
      <c r="C66" s="382"/>
      <c r="D66" s="295">
        <v>1249552.6599999999</v>
      </c>
      <c r="E66" s="295">
        <v>305211.2</v>
      </c>
      <c r="F66" s="51">
        <f t="shared" ref="F66" si="2">D66-E66</f>
        <v>944341.46</v>
      </c>
    </row>
    <row r="67" spans="2:8" ht="20.100000000000001" customHeight="1" x14ac:dyDescent="0.25">
      <c r="B67" s="1" t="s">
        <v>59</v>
      </c>
      <c r="C67" s="382"/>
      <c r="D67" s="295">
        <v>3891</v>
      </c>
      <c r="E67" s="295">
        <v>3663</v>
      </c>
      <c r="F67" s="51">
        <f t="shared" si="1"/>
        <v>228</v>
      </c>
    </row>
    <row r="68" spans="2:8" ht="20.100000000000001" customHeight="1" x14ac:dyDescent="0.25">
      <c r="B68" s="1" t="s">
        <v>465</v>
      </c>
      <c r="C68" s="385"/>
      <c r="D68" s="295">
        <v>21230</v>
      </c>
      <c r="E68" s="295">
        <v>21230</v>
      </c>
      <c r="F68" s="51">
        <f t="shared" si="1"/>
        <v>0</v>
      </c>
    </row>
    <row r="69" spans="2:8" ht="20.100000000000001" customHeight="1" x14ac:dyDescent="0.25">
      <c r="B69" s="1" t="s">
        <v>466</v>
      </c>
      <c r="D69" s="55">
        <v>425293.24</v>
      </c>
      <c r="E69" s="55">
        <v>341955.74</v>
      </c>
      <c r="F69" s="51">
        <f t="shared" si="1"/>
        <v>83337.5</v>
      </c>
    </row>
    <row r="70" spans="2:8" ht="20.100000000000001" customHeight="1" x14ac:dyDescent="0.25">
      <c r="B70" s="1" t="s">
        <v>467</v>
      </c>
      <c r="C70" s="385"/>
      <c r="D70" s="55">
        <v>570972.78</v>
      </c>
      <c r="E70" s="55">
        <v>489405.24</v>
      </c>
      <c r="F70" s="51">
        <f t="shared" si="1"/>
        <v>81567.540000000037</v>
      </c>
    </row>
    <row r="71" spans="2:8" ht="20.100000000000001" customHeight="1" x14ac:dyDescent="0.25">
      <c r="B71" s="1" t="s">
        <v>60</v>
      </c>
      <c r="C71" s="382" t="s">
        <v>9</v>
      </c>
      <c r="D71" s="55">
        <v>5946428.0999999996</v>
      </c>
      <c r="E71" s="55">
        <v>5179071.87</v>
      </c>
      <c r="F71" s="51">
        <f t="shared" si="1"/>
        <v>767356.22999999952</v>
      </c>
    </row>
    <row r="72" spans="2:8" ht="20.100000000000001" customHeight="1" x14ac:dyDescent="0.25">
      <c r="B72" s="1" t="s">
        <v>337</v>
      </c>
      <c r="C72" s="382"/>
      <c r="D72" s="55">
        <v>2229357.0699999998</v>
      </c>
      <c r="E72" s="55">
        <v>2240735.63</v>
      </c>
      <c r="F72" s="51">
        <f t="shared" si="1"/>
        <v>-11378.560000000056</v>
      </c>
    </row>
    <row r="73" spans="2:8" ht="20.100000000000001" customHeight="1" x14ac:dyDescent="0.25">
      <c r="B73" s="1" t="s">
        <v>808</v>
      </c>
      <c r="C73" s="385" t="s">
        <v>9</v>
      </c>
      <c r="D73" s="55">
        <v>916558.96</v>
      </c>
      <c r="E73" s="55">
        <v>779092.73</v>
      </c>
      <c r="F73" s="51">
        <f t="shared" si="1"/>
        <v>137466.22999999998</v>
      </c>
      <c r="H73" s="31"/>
    </row>
    <row r="74" spans="2:8" ht="20.100000000000001" customHeight="1" x14ac:dyDescent="0.25">
      <c r="B74" s="1" t="s">
        <v>809</v>
      </c>
      <c r="C74" s="385"/>
      <c r="D74" s="55">
        <v>1399289.87</v>
      </c>
      <c r="E74" s="55">
        <v>1193845.8700000001</v>
      </c>
      <c r="F74" s="51">
        <f t="shared" si="1"/>
        <v>205444</v>
      </c>
    </row>
    <row r="75" spans="2:8" ht="20.100000000000001" customHeight="1" x14ac:dyDescent="0.25">
      <c r="B75" s="1" t="s">
        <v>587</v>
      </c>
      <c r="C75" s="385"/>
      <c r="D75" s="55">
        <v>887950</v>
      </c>
      <c r="E75" s="55">
        <v>887950</v>
      </c>
      <c r="F75" s="51">
        <f>D75-E75</f>
        <v>0</v>
      </c>
    </row>
    <row r="76" spans="2:8" ht="20.100000000000001" customHeight="1" x14ac:dyDescent="0.25">
      <c r="B76" s="1" t="s">
        <v>810</v>
      </c>
      <c r="C76" s="385"/>
      <c r="D76" s="55">
        <v>2961915.78</v>
      </c>
      <c r="E76" s="55">
        <v>1431548.23</v>
      </c>
      <c r="F76" s="51">
        <f t="shared" si="1"/>
        <v>1530367.5499999998</v>
      </c>
    </row>
    <row r="77" spans="2:8" ht="20.100000000000001" customHeight="1" x14ac:dyDescent="0.25">
      <c r="B77" s="1" t="s">
        <v>61</v>
      </c>
      <c r="C77" s="385" t="s">
        <v>9</v>
      </c>
      <c r="D77" s="55">
        <v>3215.3</v>
      </c>
      <c r="E77" s="55">
        <v>2705.3</v>
      </c>
      <c r="F77" s="51">
        <f t="shared" si="1"/>
        <v>510</v>
      </c>
    </row>
    <row r="78" spans="2:8" ht="20.100000000000001" customHeight="1" x14ac:dyDescent="0.25">
      <c r="B78" s="1" t="s">
        <v>267</v>
      </c>
      <c r="C78" s="385"/>
      <c r="D78" s="55">
        <v>2560000</v>
      </c>
      <c r="E78" s="55">
        <v>1920000</v>
      </c>
      <c r="F78" s="51">
        <f t="shared" si="1"/>
        <v>640000</v>
      </c>
    </row>
    <row r="79" spans="2:8" ht="20.100000000000001" customHeight="1" x14ac:dyDescent="0.25">
      <c r="B79" s="1" t="s">
        <v>671</v>
      </c>
      <c r="C79" s="385"/>
      <c r="D79" s="55">
        <v>17000</v>
      </c>
      <c r="E79" s="55">
        <v>17000</v>
      </c>
      <c r="F79" s="51">
        <f t="shared" ref="F79" si="3">D79-E79</f>
        <v>0</v>
      </c>
    </row>
    <row r="80" spans="2:8" ht="20.100000000000001" customHeight="1" x14ac:dyDescent="0.25">
      <c r="B80" s="1" t="s">
        <v>322</v>
      </c>
      <c r="C80" s="385"/>
      <c r="D80" s="55">
        <v>397963.98</v>
      </c>
      <c r="E80" s="55">
        <v>397963.98</v>
      </c>
      <c r="F80" s="51">
        <f t="shared" si="1"/>
        <v>0</v>
      </c>
    </row>
    <row r="81" spans="2:6" ht="20.100000000000001" customHeight="1" x14ac:dyDescent="0.25">
      <c r="B81" s="1" t="s">
        <v>468</v>
      </c>
      <c r="C81" s="386"/>
      <c r="D81" s="55">
        <v>5026589.0199999996</v>
      </c>
      <c r="E81" s="55">
        <v>5485084.0199999996</v>
      </c>
      <c r="F81" s="51">
        <f t="shared" si="1"/>
        <v>-458495</v>
      </c>
    </row>
    <row r="82" spans="2:6" ht="20.100000000000001" customHeight="1" x14ac:dyDescent="0.25">
      <c r="B82" s="1" t="s">
        <v>62</v>
      </c>
      <c r="C82" s="387"/>
      <c r="D82" s="295">
        <v>250510827.00999999</v>
      </c>
      <c r="E82" s="295">
        <v>182032544.18000001</v>
      </c>
      <c r="F82" s="51">
        <f t="shared" si="1"/>
        <v>68478282.829999983</v>
      </c>
    </row>
    <row r="83" spans="2:6" ht="20.100000000000001" customHeight="1" x14ac:dyDescent="0.25">
      <c r="B83" s="1" t="s">
        <v>345</v>
      </c>
      <c r="C83" s="382"/>
      <c r="D83" s="55">
        <v>1656440</v>
      </c>
      <c r="E83" s="55">
        <v>1599880</v>
      </c>
      <c r="F83" s="51">
        <f t="shared" si="1"/>
        <v>56560</v>
      </c>
    </row>
    <row r="84" spans="2:6" ht="20.100000000000001" hidden="1" customHeight="1" x14ac:dyDescent="0.25">
      <c r="B84" s="1" t="s">
        <v>266</v>
      </c>
      <c r="C84" s="387"/>
      <c r="D84" s="55">
        <v>0</v>
      </c>
      <c r="E84" s="51">
        <v>0</v>
      </c>
      <c r="F84" s="51">
        <f t="shared" si="1"/>
        <v>0</v>
      </c>
    </row>
    <row r="85" spans="2:6" ht="20.100000000000001" customHeight="1" x14ac:dyDescent="0.25">
      <c r="C85" s="358" t="s">
        <v>799</v>
      </c>
      <c r="E85" s="51"/>
      <c r="F85" s="51"/>
    </row>
    <row r="86" spans="2:6" s="16" customFormat="1" ht="24.75" customHeight="1" x14ac:dyDescent="0.25">
      <c r="B86" s="16" t="s">
        <v>87</v>
      </c>
      <c r="C86" s="382" t="s">
        <v>9</v>
      </c>
      <c r="D86" s="54">
        <f>SUM(D57:D84)</f>
        <v>281738748.33999997</v>
      </c>
      <c r="E86" s="384">
        <f>SUM(E57:E84)</f>
        <v>208455841.63</v>
      </c>
      <c r="F86" s="384">
        <f>SUM(F57:F84)</f>
        <v>73282906.709999979</v>
      </c>
    </row>
    <row r="87" spans="2:6" ht="20.100000000000001" customHeight="1" x14ac:dyDescent="0.25">
      <c r="C87" s="382" t="s">
        <v>9</v>
      </c>
      <c r="E87" s="51"/>
      <c r="F87" s="51"/>
    </row>
    <row r="88" spans="2:6" ht="20.100000000000001" customHeight="1" x14ac:dyDescent="0.25">
      <c r="C88" s="382" t="s">
        <v>9</v>
      </c>
      <c r="F88" s="51"/>
    </row>
    <row r="89" spans="2:6" ht="24.75" customHeight="1" x14ac:dyDescent="0.25">
      <c r="B89" s="16" t="s">
        <v>239</v>
      </c>
      <c r="C89" s="382">
        <v>20</v>
      </c>
      <c r="E89" s="51"/>
      <c r="F89" s="51"/>
    </row>
    <row r="90" spans="2:6" ht="20.100000000000001" customHeight="1" x14ac:dyDescent="0.25">
      <c r="B90" s="1" t="s">
        <v>88</v>
      </c>
      <c r="C90" s="382" t="s">
        <v>9</v>
      </c>
      <c r="D90" s="295">
        <v>1263966.73</v>
      </c>
      <c r="E90" s="295">
        <v>1098913.05</v>
      </c>
      <c r="F90" s="51">
        <f>D90-E90</f>
        <v>165053.67999999993</v>
      </c>
    </row>
    <row r="91" spans="2:6" ht="20.100000000000001" customHeight="1" x14ac:dyDescent="0.25">
      <c r="B91" s="1" t="s">
        <v>672</v>
      </c>
      <c r="C91" s="382"/>
      <c r="D91" s="295">
        <v>723104</v>
      </c>
      <c r="E91" s="295">
        <v>41064</v>
      </c>
      <c r="F91" s="51">
        <f t="shared" ref="F91" si="4">D91-E91</f>
        <v>682040</v>
      </c>
    </row>
    <row r="92" spans="2:6" x14ac:dyDescent="0.25">
      <c r="B92" s="1" t="s">
        <v>321</v>
      </c>
      <c r="C92" s="382"/>
      <c r="D92" s="295">
        <v>945593</v>
      </c>
      <c r="E92" s="295">
        <v>945593</v>
      </c>
      <c r="F92" s="51">
        <f t="shared" ref="F92:F110" si="5">D92-E92</f>
        <v>0</v>
      </c>
    </row>
    <row r="93" spans="2:6" x14ac:dyDescent="0.25">
      <c r="B93" s="1" t="s">
        <v>469</v>
      </c>
      <c r="C93" s="382" t="s">
        <v>9</v>
      </c>
      <c r="D93" s="295">
        <v>5543.49</v>
      </c>
      <c r="E93" s="295">
        <v>5543.49</v>
      </c>
      <c r="F93" s="51">
        <f t="shared" si="5"/>
        <v>0</v>
      </c>
    </row>
    <row r="94" spans="2:6" x14ac:dyDescent="0.25">
      <c r="B94" s="1" t="s">
        <v>193</v>
      </c>
      <c r="C94" s="382" t="s">
        <v>9</v>
      </c>
      <c r="D94" s="295">
        <v>29100</v>
      </c>
      <c r="E94" s="295">
        <v>29100</v>
      </c>
      <c r="F94" s="51">
        <f t="shared" si="5"/>
        <v>0</v>
      </c>
    </row>
    <row r="95" spans="2:6" ht="20.100000000000001" customHeight="1" x14ac:dyDescent="0.25">
      <c r="B95" s="1" t="s">
        <v>63</v>
      </c>
      <c r="C95" s="382" t="s">
        <v>9</v>
      </c>
      <c r="D95" s="295">
        <v>4838887.32</v>
      </c>
      <c r="E95" s="295">
        <v>4331214.0199999996</v>
      </c>
      <c r="F95" s="51">
        <f t="shared" si="5"/>
        <v>507673.30000000075</v>
      </c>
    </row>
    <row r="96" spans="2:6" ht="20.100000000000001" customHeight="1" x14ac:dyDescent="0.25">
      <c r="B96" s="1" t="s">
        <v>595</v>
      </c>
      <c r="C96" s="382"/>
      <c r="D96" s="295">
        <v>22900</v>
      </c>
      <c r="E96" s="295">
        <v>0</v>
      </c>
      <c r="F96" s="51">
        <f>D96-E96</f>
        <v>22900</v>
      </c>
    </row>
    <row r="97" spans="2:8" ht="20.100000000000001" customHeight="1" x14ac:dyDescent="0.25">
      <c r="B97" s="1" t="s">
        <v>253</v>
      </c>
      <c r="C97" s="382"/>
      <c r="D97" s="295">
        <v>86614.22</v>
      </c>
      <c r="E97" s="295">
        <v>86614.22</v>
      </c>
      <c r="F97" s="51">
        <f>D97-E97</f>
        <v>0</v>
      </c>
    </row>
    <row r="98" spans="2:8" ht="20.100000000000001" customHeight="1" x14ac:dyDescent="0.25">
      <c r="B98" s="1" t="s">
        <v>590</v>
      </c>
      <c r="C98" s="382"/>
      <c r="D98" s="295">
        <v>68003.399999999994</v>
      </c>
      <c r="E98" s="295">
        <v>68003.399999999994</v>
      </c>
      <c r="F98" s="51">
        <f t="shared" si="5"/>
        <v>0</v>
      </c>
    </row>
    <row r="99" spans="2:8" ht="20.100000000000001" customHeight="1" x14ac:dyDescent="0.25">
      <c r="B99" s="1" t="s">
        <v>64</v>
      </c>
      <c r="C99" s="382" t="s">
        <v>9</v>
      </c>
      <c r="D99" s="295">
        <v>9720.5</v>
      </c>
      <c r="E99" s="295">
        <v>8280.7999999999993</v>
      </c>
      <c r="F99" s="51">
        <f t="shared" si="5"/>
        <v>1439.7000000000007</v>
      </c>
    </row>
    <row r="100" spans="2:8" ht="20.100000000000001" customHeight="1" x14ac:dyDescent="0.25">
      <c r="B100" s="1" t="s">
        <v>596</v>
      </c>
      <c r="C100" s="382" t="s">
        <v>9</v>
      </c>
      <c r="D100" s="295">
        <v>251061.59</v>
      </c>
      <c r="E100" s="295">
        <v>177522.85</v>
      </c>
      <c r="F100" s="51">
        <f t="shared" si="5"/>
        <v>73538.739999999991</v>
      </c>
    </row>
    <row r="101" spans="2:8" ht="20.100000000000001" customHeight="1" x14ac:dyDescent="0.25">
      <c r="B101" s="1" t="s">
        <v>811</v>
      </c>
      <c r="C101" s="382"/>
      <c r="D101" s="295">
        <v>13797.5</v>
      </c>
      <c r="E101" s="295">
        <v>13797.5</v>
      </c>
      <c r="F101" s="51">
        <f t="shared" si="5"/>
        <v>0</v>
      </c>
    </row>
    <row r="102" spans="2:8" ht="20.100000000000001" customHeight="1" x14ac:dyDescent="0.25">
      <c r="B102" s="1" t="s">
        <v>195</v>
      </c>
      <c r="C102" s="382" t="s">
        <v>9</v>
      </c>
      <c r="D102" s="295">
        <v>411041.23</v>
      </c>
      <c r="E102" s="295">
        <v>226077.04</v>
      </c>
      <c r="F102" s="51">
        <f t="shared" si="5"/>
        <v>184964.18999999997</v>
      </c>
    </row>
    <row r="103" spans="2:8" ht="20.100000000000001" customHeight="1" x14ac:dyDescent="0.25">
      <c r="B103" s="1" t="s">
        <v>194</v>
      </c>
      <c r="C103" s="382" t="s">
        <v>9</v>
      </c>
      <c r="D103" s="295">
        <v>4400</v>
      </c>
      <c r="E103" s="295">
        <v>4400</v>
      </c>
      <c r="F103" s="51">
        <f>D103-E103</f>
        <v>0</v>
      </c>
    </row>
    <row r="104" spans="2:8" ht="20.100000000000001" customHeight="1" x14ac:dyDescent="0.25">
      <c r="B104" s="1" t="s">
        <v>752</v>
      </c>
      <c r="C104" s="382"/>
      <c r="D104" s="295">
        <v>454461.58</v>
      </c>
      <c r="E104" s="295">
        <v>454461.58</v>
      </c>
      <c r="F104" s="51">
        <f t="shared" si="5"/>
        <v>0</v>
      </c>
    </row>
    <row r="105" spans="2:8" ht="20.100000000000001" customHeight="1" x14ac:dyDescent="0.25">
      <c r="B105" s="1" t="s">
        <v>196</v>
      </c>
      <c r="C105" s="382" t="s">
        <v>9</v>
      </c>
      <c r="D105" s="55">
        <v>1755437.53</v>
      </c>
      <c r="E105" s="55">
        <v>1673456.95</v>
      </c>
      <c r="F105" s="51">
        <f t="shared" si="5"/>
        <v>81980.580000000075</v>
      </c>
    </row>
    <row r="106" spans="2:8" ht="20.100000000000001" customHeight="1" x14ac:dyDescent="0.25">
      <c r="B106" s="1" t="s">
        <v>804</v>
      </c>
      <c r="C106" s="382" t="s">
        <v>9</v>
      </c>
      <c r="D106" s="295">
        <v>4121870.07</v>
      </c>
      <c r="E106" s="295">
        <v>3606324.02</v>
      </c>
      <c r="F106" s="51">
        <f t="shared" si="5"/>
        <v>515546.04999999981</v>
      </c>
    </row>
    <row r="107" spans="2:8" ht="20.100000000000001" customHeight="1" x14ac:dyDescent="0.25">
      <c r="B107" s="1" t="s">
        <v>448</v>
      </c>
      <c r="C107" s="382"/>
      <c r="D107" s="295">
        <v>716783.62</v>
      </c>
      <c r="E107" s="295">
        <v>614385.96</v>
      </c>
      <c r="F107" s="51">
        <f t="shared" si="5"/>
        <v>102397.66000000003</v>
      </c>
    </row>
    <row r="108" spans="2:8" ht="20.100000000000001" customHeight="1" x14ac:dyDescent="0.25">
      <c r="B108" s="1" t="s">
        <v>597</v>
      </c>
      <c r="C108" s="382" t="s">
        <v>9</v>
      </c>
      <c r="D108" s="295">
        <v>1599646.65</v>
      </c>
      <c r="E108" s="295">
        <v>1283396.69</v>
      </c>
      <c r="F108" s="51">
        <f>D108-E108</f>
        <v>316249.95999999996</v>
      </c>
      <c r="H108" s="20"/>
    </row>
    <row r="109" spans="2:8" ht="20.100000000000001" customHeight="1" x14ac:dyDescent="0.25">
      <c r="B109" s="1" t="s">
        <v>197</v>
      </c>
      <c r="C109" s="382" t="s">
        <v>9</v>
      </c>
      <c r="D109" s="295">
        <v>0</v>
      </c>
      <c r="E109" s="295">
        <v>0</v>
      </c>
      <c r="F109" s="51">
        <f t="shared" si="5"/>
        <v>0</v>
      </c>
    </row>
    <row r="110" spans="2:8" ht="20.100000000000001" customHeight="1" x14ac:dyDescent="0.25">
      <c r="B110" s="1" t="s">
        <v>270</v>
      </c>
      <c r="C110" s="387"/>
      <c r="D110" s="295">
        <v>117113.15</v>
      </c>
      <c r="E110" s="295">
        <v>100382.7</v>
      </c>
      <c r="F110" s="51">
        <f t="shared" si="5"/>
        <v>16730.449999999997</v>
      </c>
    </row>
    <row r="111" spans="2:8" ht="20.100000000000001" customHeight="1" x14ac:dyDescent="0.25">
      <c r="C111" s="358" t="s">
        <v>799</v>
      </c>
      <c r="E111" s="51"/>
      <c r="F111" s="51"/>
    </row>
    <row r="112" spans="2:8" s="16" customFormat="1" ht="24.75" customHeight="1" x14ac:dyDescent="0.25">
      <c r="B112" s="16" t="s">
        <v>89</v>
      </c>
      <c r="C112" s="382" t="s">
        <v>9</v>
      </c>
      <c r="D112" s="54">
        <f>SUM(D90:D110)</f>
        <v>17439045.579999998</v>
      </c>
      <c r="E112" s="384">
        <f>SUM(E90:E110)</f>
        <v>14768531.269999998</v>
      </c>
      <c r="F112" s="384">
        <f>SUM(F90:F110)</f>
        <v>2670514.3100000005</v>
      </c>
    </row>
    <row r="113" spans="2:8" ht="20.100000000000001" customHeight="1" x14ac:dyDescent="0.25">
      <c r="C113" s="382" t="s">
        <v>9</v>
      </c>
      <c r="E113" s="388"/>
      <c r="F113" s="51"/>
    </row>
    <row r="114" spans="2:8" ht="20.100000000000001" customHeight="1" x14ac:dyDescent="0.25">
      <c r="C114" s="382" t="s">
        <v>9</v>
      </c>
      <c r="D114" s="295"/>
      <c r="E114" s="51"/>
      <c r="F114" s="51"/>
    </row>
    <row r="115" spans="2:8" ht="24.75" customHeight="1" x14ac:dyDescent="0.25">
      <c r="B115" s="16" t="s">
        <v>185</v>
      </c>
      <c r="C115" s="382">
        <v>21</v>
      </c>
      <c r="D115" s="295"/>
      <c r="E115" s="51"/>
      <c r="F115" s="51"/>
    </row>
    <row r="116" spans="2:8" ht="20.100000000000001" customHeight="1" x14ac:dyDescent="0.25">
      <c r="B116" s="1" t="s">
        <v>65</v>
      </c>
      <c r="C116" s="385" t="s">
        <v>9</v>
      </c>
      <c r="D116" s="295">
        <v>891269.31</v>
      </c>
      <c r="E116" s="295">
        <v>232370.77</v>
      </c>
      <c r="F116" s="51">
        <f t="shared" ref="F116:F124" si="6">D116-E116</f>
        <v>658898.54</v>
      </c>
    </row>
    <row r="117" spans="2:8" ht="20.100000000000001" customHeight="1" x14ac:dyDescent="0.25">
      <c r="B117" s="1" t="s">
        <v>262</v>
      </c>
      <c r="C117" s="385"/>
      <c r="D117" s="295">
        <v>533892.86</v>
      </c>
      <c r="E117" s="295">
        <v>533892.86</v>
      </c>
      <c r="F117" s="51">
        <f t="shared" si="6"/>
        <v>0</v>
      </c>
    </row>
    <row r="118" spans="2:8" ht="20.100000000000001" customHeight="1" x14ac:dyDescent="0.25">
      <c r="B118" s="1" t="s">
        <v>532</v>
      </c>
      <c r="C118" s="385"/>
      <c r="D118" s="295">
        <v>32266006.27</v>
      </c>
      <c r="E118" s="295">
        <v>32266006.27</v>
      </c>
      <c r="F118" s="51">
        <f>D118-E118</f>
        <v>0</v>
      </c>
    </row>
    <row r="119" spans="2:8" ht="20.100000000000001" customHeight="1" x14ac:dyDescent="0.25">
      <c r="B119" s="1" t="s">
        <v>346</v>
      </c>
      <c r="C119" s="385"/>
      <c r="D119" s="295">
        <v>2124027.08</v>
      </c>
      <c r="E119" s="295">
        <v>1773223.87</v>
      </c>
      <c r="F119" s="51">
        <f>D119-E119</f>
        <v>350803.20999999996</v>
      </c>
    </row>
    <row r="120" spans="2:8" ht="21.75" customHeight="1" x14ac:dyDescent="0.25">
      <c r="B120" s="1" t="s">
        <v>812</v>
      </c>
      <c r="C120" s="385"/>
      <c r="D120" s="295">
        <v>43509352.539999999</v>
      </c>
      <c r="E120" s="295">
        <v>43051715.799999997</v>
      </c>
      <c r="F120" s="51">
        <f>D120-E120</f>
        <v>457636.74000000209</v>
      </c>
      <c r="H120" s="2"/>
    </row>
    <row r="121" spans="2:8" ht="20.100000000000001" customHeight="1" x14ac:dyDescent="0.25">
      <c r="B121" s="1" t="s">
        <v>417</v>
      </c>
      <c r="C121" s="385"/>
      <c r="D121" s="295">
        <v>2599745.54</v>
      </c>
      <c r="E121" s="295">
        <v>2599745.54</v>
      </c>
      <c r="F121" s="51">
        <f>D121-E121</f>
        <v>0</v>
      </c>
      <c r="H121" s="2"/>
    </row>
    <row r="122" spans="2:8" ht="20.100000000000001" customHeight="1" x14ac:dyDescent="0.25">
      <c r="B122" s="1" t="s">
        <v>813</v>
      </c>
      <c r="C122" s="385"/>
      <c r="D122" s="295">
        <v>72657.679999999993</v>
      </c>
      <c r="E122" s="295">
        <v>94144.3</v>
      </c>
      <c r="F122" s="51">
        <f t="shared" ref="F122" si="7">D122-E122</f>
        <v>-21486.62000000001</v>
      </c>
    </row>
    <row r="123" spans="2:8" ht="20.100000000000001" customHeight="1" x14ac:dyDescent="0.25">
      <c r="B123" s="1" t="s">
        <v>598</v>
      </c>
      <c r="C123" s="385"/>
      <c r="D123" s="295">
        <v>202981953</v>
      </c>
      <c r="E123" s="295">
        <v>202981953</v>
      </c>
      <c r="F123" s="51">
        <f t="shared" si="6"/>
        <v>0</v>
      </c>
      <c r="H123" s="2"/>
    </row>
    <row r="124" spans="2:8" ht="20.100000000000001" customHeight="1" x14ac:dyDescent="0.25">
      <c r="B124" s="1" t="s">
        <v>254</v>
      </c>
      <c r="C124" s="385"/>
      <c r="D124" s="295">
        <v>0</v>
      </c>
      <c r="E124" s="295">
        <v>0</v>
      </c>
      <c r="F124" s="51">
        <f t="shared" si="6"/>
        <v>0</v>
      </c>
    </row>
    <row r="125" spans="2:8" ht="20.100000000000001" customHeight="1" x14ac:dyDescent="0.25">
      <c r="C125" s="358" t="s">
        <v>799</v>
      </c>
      <c r="E125" s="51"/>
      <c r="F125" s="51"/>
    </row>
    <row r="126" spans="2:8" s="16" customFormat="1" ht="24.75" customHeight="1" x14ac:dyDescent="0.25">
      <c r="B126" s="16" t="s">
        <v>90</v>
      </c>
      <c r="C126" s="382" t="s">
        <v>9</v>
      </c>
      <c r="D126" s="54">
        <f>SUM(D116:D125)</f>
        <v>284978904.28000003</v>
      </c>
      <c r="E126" s="384">
        <f>SUM(E116:E125)</f>
        <v>283533052.40999997</v>
      </c>
      <c r="F126" s="384">
        <f>SUM(F116:F125)</f>
        <v>1445851.870000002</v>
      </c>
    </row>
    <row r="127" spans="2:8" ht="20.100000000000001" customHeight="1" x14ac:dyDescent="0.25">
      <c r="C127" s="382" t="s">
        <v>9</v>
      </c>
      <c r="E127" s="51"/>
      <c r="F127" s="51"/>
    </row>
    <row r="128" spans="2:8" ht="20.100000000000001" customHeight="1" x14ac:dyDescent="0.25">
      <c r="C128" s="382" t="s">
        <v>9</v>
      </c>
      <c r="D128" s="478"/>
      <c r="E128" s="51"/>
      <c r="F128" s="51"/>
    </row>
    <row r="129" spans="2:8" ht="24.75" customHeight="1" x14ac:dyDescent="0.25">
      <c r="B129" s="16" t="s">
        <v>237</v>
      </c>
      <c r="C129" s="382">
        <v>22</v>
      </c>
      <c r="E129" s="51"/>
      <c r="F129" s="51"/>
    </row>
    <row r="130" spans="2:8" s="71" customFormat="1" ht="20.100000000000001" customHeight="1" x14ac:dyDescent="0.25">
      <c r="B130" s="71" t="s">
        <v>530</v>
      </c>
      <c r="C130" s="382" t="s">
        <v>9</v>
      </c>
      <c r="D130" s="55">
        <v>5450538.5</v>
      </c>
      <c r="E130" s="55">
        <v>5449523.0800000001</v>
      </c>
      <c r="F130" s="51">
        <f>D130-E130</f>
        <v>1015.4199999999255</v>
      </c>
      <c r="G130" s="51">
        <f>E130-F130</f>
        <v>5448507.6600000001</v>
      </c>
    </row>
    <row r="131" spans="2:8" s="71" customFormat="1" ht="20.100000000000001" customHeight="1" x14ac:dyDescent="0.25">
      <c r="B131" s="1" t="s">
        <v>531</v>
      </c>
      <c r="C131" s="382" t="s">
        <v>9</v>
      </c>
      <c r="D131" s="365">
        <v>-4245.6400000000003</v>
      </c>
      <c r="E131" s="365">
        <v>-4245.6400000000003</v>
      </c>
      <c r="F131" s="51">
        <f>D131-E131</f>
        <v>0</v>
      </c>
      <c r="G131" s="51"/>
    </row>
    <row r="132" spans="2:8" ht="20.100000000000001" customHeight="1" x14ac:dyDescent="0.25">
      <c r="B132" s="1" t="s">
        <v>689</v>
      </c>
      <c r="C132" s="442"/>
      <c r="D132" s="365">
        <f>-735109.13+718494.28</f>
        <v>-16614.849999999977</v>
      </c>
      <c r="E132" s="365">
        <v>-16614.849999999977</v>
      </c>
      <c r="F132" s="51">
        <f>D132-E132</f>
        <v>0</v>
      </c>
      <c r="H132" s="31"/>
    </row>
    <row r="133" spans="2:8" ht="20.100000000000001" customHeight="1" x14ac:dyDescent="0.25">
      <c r="B133" s="20"/>
      <c r="C133" s="358" t="s">
        <v>799</v>
      </c>
      <c r="D133" s="51"/>
      <c r="E133" s="51"/>
      <c r="F133" s="51"/>
    </row>
    <row r="134" spans="2:8" s="16" customFormat="1" ht="24.75" customHeight="1" x14ac:dyDescent="0.25">
      <c r="B134" s="16" t="s">
        <v>244</v>
      </c>
      <c r="C134" s="382" t="s">
        <v>9</v>
      </c>
      <c r="D134" s="54">
        <f>SUM(D130:D133)</f>
        <v>5429678.0100000007</v>
      </c>
      <c r="E134" s="384">
        <f>SUM(E130:E133)</f>
        <v>5428662.5900000008</v>
      </c>
      <c r="F134" s="384">
        <f>SUM(F130:F133)</f>
        <v>1015.4199999999255</v>
      </c>
    </row>
    <row r="135" spans="2:8" ht="20.100000000000001" customHeight="1" x14ac:dyDescent="0.25">
      <c r="C135" s="382" t="s">
        <v>9</v>
      </c>
      <c r="D135" s="51"/>
      <c r="E135" s="51"/>
      <c r="F135" s="51"/>
    </row>
    <row r="136" spans="2:8" x14ac:dyDescent="0.25">
      <c r="C136" s="382"/>
      <c r="D136" s="365"/>
      <c r="E136" s="51"/>
      <c r="F136" s="51"/>
    </row>
    <row r="137" spans="2:8" x14ac:dyDescent="0.25">
      <c r="C137" s="382"/>
      <c r="E137" s="51"/>
      <c r="F137" s="51"/>
    </row>
    <row r="138" spans="2:8" x14ac:dyDescent="0.25">
      <c r="C138" s="382"/>
      <c r="D138" s="51"/>
      <c r="E138" s="51"/>
      <c r="F138" s="51"/>
    </row>
    <row r="139" spans="2:8" x14ac:dyDescent="0.25">
      <c r="C139" s="382"/>
      <c r="D139" s="51"/>
      <c r="E139" s="51"/>
      <c r="F139" s="51"/>
    </row>
    <row r="140" spans="2:8" x14ac:dyDescent="0.25">
      <c r="C140" s="382"/>
      <c r="D140" s="51"/>
      <c r="E140" s="51"/>
      <c r="F140" s="51"/>
    </row>
    <row r="141" spans="2:8" x14ac:dyDescent="0.25">
      <c r="C141" s="382"/>
      <c r="D141" s="51"/>
      <c r="E141" s="51"/>
      <c r="F141" s="51"/>
    </row>
    <row r="142" spans="2:8" x14ac:dyDescent="0.25">
      <c r="C142" s="382"/>
      <c r="D142" s="51"/>
      <c r="E142" s="51"/>
      <c r="F142" s="51"/>
    </row>
    <row r="143" spans="2:8" x14ac:dyDescent="0.25">
      <c r="C143" s="382"/>
      <c r="D143" s="51"/>
      <c r="E143" s="51"/>
      <c r="F143" s="51"/>
    </row>
    <row r="144" spans="2:8" x14ac:dyDescent="0.25">
      <c r="C144" s="382"/>
      <c r="D144" s="51"/>
      <c r="E144" s="51"/>
      <c r="F144" s="51"/>
    </row>
    <row r="145" spans="3:6" x14ac:dyDescent="0.25">
      <c r="C145" s="382"/>
      <c r="D145" s="51"/>
      <c r="E145" s="51"/>
      <c r="F145" s="51"/>
    </row>
    <row r="146" spans="3:6" x14ac:dyDescent="0.25">
      <c r="C146" s="382"/>
      <c r="D146" s="51"/>
      <c r="E146" s="51"/>
      <c r="F146" s="51"/>
    </row>
    <row r="147" spans="3:6" x14ac:dyDescent="0.25">
      <c r="C147" s="382"/>
      <c r="D147" s="51"/>
      <c r="E147" s="51"/>
      <c r="F147" s="51"/>
    </row>
    <row r="148" spans="3:6" x14ac:dyDescent="0.25">
      <c r="C148" s="382"/>
      <c r="D148" s="51"/>
      <c r="E148" s="51"/>
      <c r="F148" s="51"/>
    </row>
    <row r="149" spans="3:6" x14ac:dyDescent="0.25">
      <c r="C149" s="382"/>
      <c r="D149" s="51"/>
      <c r="E149" s="51"/>
      <c r="F149" s="51"/>
    </row>
    <row r="150" spans="3:6" x14ac:dyDescent="0.25">
      <c r="C150" s="382"/>
      <c r="D150" s="51"/>
      <c r="E150" s="51"/>
      <c r="F150" s="51"/>
    </row>
    <row r="151" spans="3:6" x14ac:dyDescent="0.25">
      <c r="C151" s="382"/>
      <c r="D151" s="51"/>
      <c r="E151" s="51"/>
      <c r="F151" s="51"/>
    </row>
    <row r="152" spans="3:6" x14ac:dyDescent="0.25">
      <c r="C152" s="382"/>
      <c r="D152" s="51"/>
      <c r="E152" s="51"/>
      <c r="F152" s="51"/>
    </row>
    <row r="153" spans="3:6" x14ac:dyDescent="0.25">
      <c r="C153" s="382"/>
      <c r="D153" s="51"/>
      <c r="E153" s="51"/>
      <c r="F153" s="51"/>
    </row>
    <row r="154" spans="3:6" x14ac:dyDescent="0.25">
      <c r="C154" s="382"/>
      <c r="D154" s="51"/>
      <c r="E154" s="51"/>
      <c r="F154" s="51"/>
    </row>
    <row r="155" spans="3:6" x14ac:dyDescent="0.25">
      <c r="C155" s="382"/>
      <c r="D155" s="51"/>
      <c r="E155" s="51"/>
      <c r="F155" s="51"/>
    </row>
    <row r="156" spans="3:6" x14ac:dyDescent="0.25">
      <c r="C156" s="382"/>
      <c r="D156" s="51"/>
      <c r="E156" s="51"/>
      <c r="F156" s="51"/>
    </row>
    <row r="157" spans="3:6" x14ac:dyDescent="0.25">
      <c r="C157" s="382"/>
      <c r="D157" s="51"/>
      <c r="E157" s="51"/>
      <c r="F157" s="51"/>
    </row>
    <row r="158" spans="3:6" x14ac:dyDescent="0.25">
      <c r="C158" s="382"/>
      <c r="D158" s="51"/>
      <c r="E158" s="51"/>
      <c r="F158" s="51"/>
    </row>
    <row r="159" spans="3:6" x14ac:dyDescent="0.25">
      <c r="C159" s="382"/>
      <c r="D159" s="51"/>
      <c r="E159" s="51"/>
      <c r="F159" s="51"/>
    </row>
    <row r="160" spans="3:6" x14ac:dyDescent="0.25">
      <c r="C160" s="382"/>
      <c r="D160" s="51"/>
      <c r="E160" s="51"/>
      <c r="F160" s="51"/>
    </row>
    <row r="161" spans="3:6" x14ac:dyDescent="0.25">
      <c r="C161" s="382"/>
      <c r="D161" s="51"/>
      <c r="E161" s="51"/>
      <c r="F161" s="51"/>
    </row>
    <row r="162" spans="3:6" x14ac:dyDescent="0.25">
      <c r="C162" s="382"/>
      <c r="D162" s="51"/>
      <c r="E162" s="51"/>
      <c r="F162" s="51"/>
    </row>
    <row r="163" spans="3:6" x14ac:dyDescent="0.25">
      <c r="C163" s="382"/>
      <c r="D163" s="51"/>
      <c r="E163" s="51"/>
      <c r="F163" s="51"/>
    </row>
    <row r="164" spans="3:6" x14ac:dyDescent="0.25">
      <c r="C164" s="382"/>
      <c r="D164" s="51"/>
      <c r="E164" s="51"/>
      <c r="F164" s="51"/>
    </row>
    <row r="165" spans="3:6" x14ac:dyDescent="0.25">
      <c r="C165" s="382"/>
      <c r="D165" s="51"/>
      <c r="E165" s="51"/>
      <c r="F165" s="51"/>
    </row>
    <row r="166" spans="3:6" x14ac:dyDescent="0.25">
      <c r="C166" s="382"/>
      <c r="D166" s="51"/>
      <c r="E166" s="51"/>
      <c r="F166" s="51"/>
    </row>
    <row r="167" spans="3:6" x14ac:dyDescent="0.25">
      <c r="C167" s="382"/>
      <c r="D167" s="51"/>
      <c r="E167" s="51"/>
      <c r="F167" s="51"/>
    </row>
    <row r="168" spans="3:6" x14ac:dyDescent="0.25">
      <c r="C168" s="382"/>
      <c r="D168" s="51"/>
      <c r="E168" s="51"/>
      <c r="F168" s="51"/>
    </row>
    <row r="169" spans="3:6" x14ac:dyDescent="0.25">
      <c r="C169" s="382"/>
      <c r="D169" s="51"/>
      <c r="E169" s="51"/>
      <c r="F169" s="51"/>
    </row>
    <row r="170" spans="3:6" x14ac:dyDescent="0.25">
      <c r="C170" s="382"/>
      <c r="D170" s="51"/>
      <c r="E170" s="51"/>
      <c r="F170" s="51"/>
    </row>
    <row r="171" spans="3:6" x14ac:dyDescent="0.25">
      <c r="C171" s="382"/>
      <c r="D171" s="51"/>
      <c r="E171" s="51"/>
      <c r="F171" s="51"/>
    </row>
    <row r="172" spans="3:6" x14ac:dyDescent="0.25">
      <c r="C172" s="382"/>
      <c r="D172" s="51"/>
      <c r="E172" s="51"/>
      <c r="F172" s="51"/>
    </row>
    <row r="173" spans="3:6" x14ac:dyDescent="0.25">
      <c r="C173" s="382"/>
      <c r="D173" s="51"/>
      <c r="E173" s="51"/>
      <c r="F173" s="51"/>
    </row>
    <row r="174" spans="3:6" x14ac:dyDescent="0.25">
      <c r="C174" s="382"/>
      <c r="D174" s="51"/>
      <c r="E174" s="51"/>
      <c r="F174" s="51"/>
    </row>
    <row r="175" spans="3:6" x14ac:dyDescent="0.25">
      <c r="C175" s="382"/>
      <c r="D175" s="51"/>
      <c r="E175" s="51"/>
      <c r="F175" s="51"/>
    </row>
    <row r="176" spans="3:6" x14ac:dyDescent="0.25">
      <c r="C176" s="382"/>
      <c r="D176" s="51"/>
      <c r="E176" s="51"/>
      <c r="F176" s="51"/>
    </row>
    <row r="177" spans="3:11" x14ac:dyDescent="0.25">
      <c r="C177" s="382"/>
      <c r="D177" s="51"/>
      <c r="E177" s="51"/>
      <c r="F177" s="51"/>
    </row>
    <row r="178" spans="3:11" x14ac:dyDescent="0.25">
      <c r="C178" s="382"/>
      <c r="D178" s="51"/>
      <c r="E178" s="51"/>
      <c r="F178" s="51"/>
    </row>
    <row r="179" spans="3:11" x14ac:dyDescent="0.25">
      <c r="C179" s="382"/>
      <c r="D179" s="51"/>
      <c r="E179" s="51"/>
      <c r="F179" s="51"/>
    </row>
    <row r="180" spans="3:11" x14ac:dyDescent="0.25">
      <c r="C180" s="382"/>
      <c r="D180" s="51"/>
      <c r="E180" s="51"/>
      <c r="F180" s="51"/>
    </row>
    <row r="181" spans="3:11" x14ac:dyDescent="0.25">
      <c r="C181" s="382"/>
      <c r="D181" s="51"/>
      <c r="E181" s="51"/>
      <c r="F181" s="51"/>
      <c r="J181" s="33"/>
    </row>
    <row r="182" spans="3:11" x14ac:dyDescent="0.25">
      <c r="C182" s="382"/>
      <c r="D182" s="51"/>
      <c r="E182" s="51"/>
      <c r="F182" s="51"/>
    </row>
    <row r="183" spans="3:11" x14ac:dyDescent="0.25">
      <c r="C183" s="382"/>
      <c r="D183" s="51"/>
      <c r="E183" s="51"/>
      <c r="F183" s="51"/>
      <c r="K183" s="33"/>
    </row>
    <row r="184" spans="3:11" x14ac:dyDescent="0.25">
      <c r="C184" s="382"/>
      <c r="D184" s="51"/>
      <c r="E184" s="51"/>
      <c r="F184" s="51"/>
    </row>
    <row r="185" spans="3:11" x14ac:dyDescent="0.25">
      <c r="C185" s="382"/>
      <c r="D185" s="51"/>
      <c r="E185" s="51"/>
      <c r="F185" s="51"/>
    </row>
    <row r="186" spans="3:11" x14ac:dyDescent="0.25">
      <c r="C186" s="382"/>
      <c r="D186" s="51"/>
      <c r="E186" s="51"/>
      <c r="F186" s="51"/>
    </row>
    <row r="187" spans="3:11" x14ac:dyDescent="0.25">
      <c r="C187" s="382"/>
      <c r="D187" s="51"/>
      <c r="E187" s="51"/>
      <c r="F187" s="51"/>
      <c r="J187" s="33"/>
    </row>
    <row r="188" spans="3:11" x14ac:dyDescent="0.25">
      <c r="C188" s="382"/>
      <c r="D188" s="51"/>
      <c r="E188" s="51"/>
      <c r="F188" s="51"/>
    </row>
    <row r="189" spans="3:11" x14ac:dyDescent="0.25">
      <c r="C189" s="382"/>
      <c r="D189" s="51"/>
      <c r="E189" s="51"/>
      <c r="F189" s="51"/>
      <c r="K189" s="33"/>
    </row>
    <row r="190" spans="3:11" x14ac:dyDescent="0.25">
      <c r="C190" s="382"/>
      <c r="D190" s="51"/>
      <c r="E190" s="51"/>
      <c r="F190" s="51"/>
      <c r="K190" s="93"/>
    </row>
    <row r="191" spans="3:11" x14ac:dyDescent="0.25">
      <c r="C191" s="382"/>
      <c r="D191" s="51"/>
      <c r="E191" s="51"/>
      <c r="F191" s="51"/>
    </row>
    <row r="193" spans="12:14" x14ac:dyDescent="0.25">
      <c r="M193" s="389"/>
      <c r="N193" s="389"/>
    </row>
    <row r="194" spans="12:14" x14ac:dyDescent="0.25">
      <c r="L194" s="93"/>
      <c r="M194" s="389"/>
      <c r="N194" s="389"/>
    </row>
    <row r="195" spans="12:14" x14ac:dyDescent="0.25">
      <c r="L195" s="93"/>
      <c r="M195" s="53"/>
      <c r="N195" s="53"/>
    </row>
    <row r="196" spans="12:14" x14ac:dyDescent="0.25">
      <c r="L196" s="93"/>
      <c r="M196" s="53"/>
      <c r="N196" s="53"/>
    </row>
    <row r="197" spans="12:14" x14ac:dyDescent="0.25">
      <c r="L197" s="93"/>
      <c r="M197" s="53"/>
      <c r="N197" s="53"/>
    </row>
    <row r="198" spans="12:14" x14ac:dyDescent="0.25">
      <c r="L198" s="93"/>
      <c r="M198" s="53"/>
      <c r="N198" s="53"/>
    </row>
    <row r="199" spans="12:14" x14ac:dyDescent="0.25">
      <c r="L199" s="93"/>
    </row>
    <row r="200" spans="12:14" x14ac:dyDescent="0.25">
      <c r="L200" s="93"/>
    </row>
    <row r="201" spans="12:14" x14ac:dyDescent="0.25">
      <c r="L201" s="93"/>
    </row>
    <row r="202" spans="12:14" x14ac:dyDescent="0.25">
      <c r="L202" s="93"/>
    </row>
  </sheetData>
  <pageMargins left="0.70866141732283472" right="0.70866141732283472" top="0.74803149606299213" bottom="1.1417322834645669" header="0.31496062992125984" footer="0.31496062992125984"/>
  <pageSetup scale="55" firstPageNumber="4" fitToHeight="2" orientation="portrait" useFirstPageNumber="1" r:id="rId1"/>
  <rowBreaks count="1" manualBreakCount="1">
    <brk id="60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fitToPage="1"/>
  </sheetPr>
  <dimension ref="B6:I164"/>
  <sheetViews>
    <sheetView view="pageBreakPreview" topLeftCell="A20" zoomScale="80" zoomScaleNormal="80" zoomScaleSheetLayoutView="80" workbookViewId="0">
      <selection activeCell="G15" sqref="G15"/>
    </sheetView>
  </sheetViews>
  <sheetFormatPr baseColWidth="10" defaultColWidth="11.5703125" defaultRowHeight="15.75" x14ac:dyDescent="0.25"/>
  <cols>
    <col min="1" max="1" width="5.140625" style="1" customWidth="1"/>
    <col min="2" max="2" width="35.140625" style="1" customWidth="1"/>
    <col min="3" max="3" width="10.7109375" style="1" customWidth="1"/>
    <col min="4" max="4" width="19.7109375" style="1" bestFit="1" customWidth="1"/>
    <col min="5" max="5" width="20.140625" style="1" bestFit="1" customWidth="1"/>
    <col min="6" max="6" width="28.42578125" style="1" bestFit="1" customWidth="1"/>
    <col min="7" max="7" width="20.140625" style="1" bestFit="1" customWidth="1"/>
    <col min="8" max="8" width="29" style="1" bestFit="1" customWidth="1"/>
    <col min="9" max="9" width="18.140625" style="1" customWidth="1"/>
    <col min="10" max="16384" width="11.5703125" style="1"/>
  </cols>
  <sheetData>
    <row r="6" spans="2:9" s="7" customFormat="1" ht="24.75" customHeight="1" x14ac:dyDescent="0.3">
      <c r="B6" s="52" t="str">
        <f>+'A-SITUACION ANEXOS'!B6</f>
        <v xml:space="preserve">ANEXOS DE ESTADO DE SITUACIÓN </v>
      </c>
      <c r="F6" s="1"/>
      <c r="G6" s="1"/>
      <c r="H6" s="1"/>
    </row>
    <row r="7" spans="2:9" s="7" customFormat="1" ht="24.75" customHeight="1" x14ac:dyDescent="0.3">
      <c r="B7" s="52" t="s">
        <v>815</v>
      </c>
      <c r="F7" s="1"/>
      <c r="G7" s="1"/>
      <c r="H7" s="1"/>
    </row>
    <row r="8" spans="2:9" s="7" customFormat="1" ht="24.75" customHeight="1" x14ac:dyDescent="0.3">
      <c r="B8" s="52" t="str">
        <f>+'A-SITUACION ANEXOS'!B8</f>
        <v>VALORES EXPRESADOS EN RD$</v>
      </c>
      <c r="F8" s="1"/>
      <c r="G8" s="1"/>
      <c r="H8" s="1"/>
    </row>
    <row r="9" spans="2:9" s="7" customFormat="1" ht="24.75" customHeight="1" x14ac:dyDescent="0.3">
      <c r="F9" s="1"/>
      <c r="G9" s="1"/>
      <c r="H9" s="1"/>
    </row>
    <row r="10" spans="2:9" s="7" customFormat="1" ht="24.75" customHeight="1" x14ac:dyDescent="0.3">
      <c r="C10" s="13" t="s">
        <v>103</v>
      </c>
      <c r="D10" s="4">
        <v>14</v>
      </c>
      <c r="F10" s="1"/>
      <c r="G10" s="1"/>
      <c r="H10" s="1"/>
    </row>
    <row r="11" spans="2:9" s="7" customFormat="1" ht="24.75" customHeight="1" x14ac:dyDescent="0.3">
      <c r="E11" s="39"/>
      <c r="F11" s="1"/>
      <c r="G11" s="1"/>
      <c r="H11" s="20"/>
    </row>
    <row r="12" spans="2:9" s="7" customFormat="1" ht="24.75" customHeight="1" x14ac:dyDescent="0.3">
      <c r="B12" s="52" t="s">
        <v>681</v>
      </c>
    </row>
    <row r="13" spans="2:9" s="7" customFormat="1" ht="24.75" customHeight="1" thickBot="1" x14ac:dyDescent="0.35">
      <c r="B13" s="52"/>
    </row>
    <row r="14" spans="2:9" s="7" customFormat="1" ht="24.75" customHeight="1" thickBot="1" x14ac:dyDescent="0.35">
      <c r="D14" s="373" t="s">
        <v>183</v>
      </c>
      <c r="E14" s="491" t="s">
        <v>835</v>
      </c>
      <c r="F14" s="492"/>
      <c r="G14" s="491" t="s">
        <v>768</v>
      </c>
      <c r="H14" s="492"/>
    </row>
    <row r="15" spans="2:9" ht="24.75" customHeight="1" x14ac:dyDescent="0.25">
      <c r="D15" s="374" t="s">
        <v>73</v>
      </c>
      <c r="E15" s="377" t="s">
        <v>75</v>
      </c>
      <c r="F15" s="368" t="s">
        <v>106</v>
      </c>
      <c r="G15" s="372" t="s">
        <v>75</v>
      </c>
      <c r="H15" s="368" t="s">
        <v>106</v>
      </c>
    </row>
    <row r="16" spans="2:9" ht="24.75" customHeight="1" x14ac:dyDescent="0.25">
      <c r="B16" s="63" t="s">
        <v>236</v>
      </c>
      <c r="D16" s="374" t="s">
        <v>74</v>
      </c>
      <c r="E16" s="374" t="s">
        <v>76</v>
      </c>
      <c r="F16" s="368" t="s">
        <v>107</v>
      </c>
      <c r="G16" s="53" t="s">
        <v>76</v>
      </c>
      <c r="H16" s="368" t="s">
        <v>107</v>
      </c>
      <c r="I16" s="25"/>
    </row>
    <row r="17" spans="2:8" ht="24.75" customHeight="1" x14ac:dyDescent="0.25">
      <c r="D17" s="246"/>
      <c r="E17" s="246"/>
      <c r="F17" s="378"/>
      <c r="H17" s="369"/>
    </row>
    <row r="18" spans="2:8" ht="24.75" customHeight="1" x14ac:dyDescent="0.25">
      <c r="B18" s="1" t="s">
        <v>470</v>
      </c>
      <c r="D18" s="375">
        <v>99.500102455000004</v>
      </c>
      <c r="E18" s="379">
        <f>F18/100</f>
        <v>6953497</v>
      </c>
      <c r="F18" s="369">
        <v>695349700</v>
      </c>
      <c r="G18" s="64">
        <v>6953497</v>
      </c>
      <c r="H18" s="369">
        <v>695349700</v>
      </c>
    </row>
    <row r="19" spans="2:8" ht="24.75" customHeight="1" x14ac:dyDescent="0.25">
      <c r="B19" s="1" t="s">
        <v>418</v>
      </c>
      <c r="D19" s="375">
        <v>49.9739570395</v>
      </c>
      <c r="E19" s="379">
        <f>F19/100</f>
        <v>28163101</v>
      </c>
      <c r="F19" s="378">
        <v>2816310100</v>
      </c>
      <c r="G19" s="64">
        <v>28163101</v>
      </c>
      <c r="H19" s="369">
        <v>2816310100</v>
      </c>
    </row>
    <row r="20" spans="2:8" ht="24.75" customHeight="1" x14ac:dyDescent="0.25">
      <c r="B20" s="1" t="s">
        <v>68</v>
      </c>
      <c r="D20" s="375">
        <v>49.590354330700002</v>
      </c>
      <c r="E20" s="379">
        <f>F20/100</f>
        <v>2519190</v>
      </c>
      <c r="F20" s="378">
        <f>251919000+0</f>
        <v>251919000</v>
      </c>
      <c r="G20" s="64">
        <v>2519190</v>
      </c>
      <c r="H20" s="369">
        <v>251919000</v>
      </c>
    </row>
    <row r="21" spans="2:8" ht="24.75" customHeight="1" x14ac:dyDescent="0.25">
      <c r="B21" s="1" t="s">
        <v>69</v>
      </c>
      <c r="D21" s="375">
        <v>49.993471306399996</v>
      </c>
      <c r="E21" s="379">
        <f>2297250000/100</f>
        <v>22972500</v>
      </c>
      <c r="F21" s="378">
        <v>2297250000</v>
      </c>
      <c r="G21" s="64">
        <v>22972500</v>
      </c>
      <c r="H21" s="369">
        <v>8255839712.2600002</v>
      </c>
    </row>
    <row r="22" spans="2:8" ht="24.75" customHeight="1" x14ac:dyDescent="0.25">
      <c r="B22" s="1" t="s">
        <v>71</v>
      </c>
      <c r="D22" s="375">
        <v>99.979305835000005</v>
      </c>
      <c r="E22" s="379">
        <f>F22/100</f>
        <v>32403395</v>
      </c>
      <c r="F22" s="378">
        <v>3240339500</v>
      </c>
      <c r="G22" s="64">
        <v>32403395</v>
      </c>
      <c r="H22" s="369">
        <v>3240339500</v>
      </c>
    </row>
    <row r="23" spans="2:8" ht="24.75" customHeight="1" x14ac:dyDescent="0.25">
      <c r="B23" s="1" t="s">
        <v>70</v>
      </c>
      <c r="D23" s="375">
        <v>99.960759730299998</v>
      </c>
      <c r="E23" s="379">
        <f>F23/100</f>
        <v>34750978</v>
      </c>
      <c r="F23" s="378">
        <v>3475097800</v>
      </c>
      <c r="G23" s="64">
        <v>34750978</v>
      </c>
      <c r="H23" s="369">
        <v>3475097800</v>
      </c>
    </row>
    <row r="24" spans="2:8" ht="24.75" customHeight="1" x14ac:dyDescent="0.25">
      <c r="B24" s="1" t="s">
        <v>72</v>
      </c>
      <c r="D24" s="375">
        <v>99.9381695318</v>
      </c>
      <c r="E24" s="379">
        <f>F24/100</f>
        <v>34628160</v>
      </c>
      <c r="F24" s="378">
        <v>3462816000</v>
      </c>
      <c r="G24" s="64">
        <v>34628160</v>
      </c>
      <c r="H24" s="369">
        <v>3462816000</v>
      </c>
    </row>
    <row r="25" spans="2:8" ht="50.25" thickBot="1" x14ac:dyDescent="0.45">
      <c r="B25" s="62" t="s">
        <v>529</v>
      </c>
      <c r="D25" s="376"/>
      <c r="E25" s="376"/>
      <c r="F25" s="371">
        <f>SUM(F18:F24)</f>
        <v>16239082100</v>
      </c>
      <c r="G25" s="370"/>
      <c r="H25" s="371">
        <f>SUM(H18:H24)</f>
        <v>22197671812.260002</v>
      </c>
    </row>
    <row r="26" spans="2:8" ht="24.75" customHeight="1" x14ac:dyDescent="0.25"/>
    <row r="27" spans="2:8" ht="24.75" customHeight="1" x14ac:dyDescent="0.25">
      <c r="F27" s="20"/>
    </row>
    <row r="29" spans="2:8" x14ac:dyDescent="0.25">
      <c r="F29" s="20"/>
    </row>
    <row r="157" spans="9:9" x14ac:dyDescent="0.25">
      <c r="I157" s="68"/>
    </row>
    <row r="158" spans="9:9" x14ac:dyDescent="0.25">
      <c r="I158" s="68"/>
    </row>
    <row r="159" spans="9:9" x14ac:dyDescent="0.25">
      <c r="I159" s="68"/>
    </row>
    <row r="160" spans="9:9" x14ac:dyDescent="0.25">
      <c r="I160" s="68"/>
    </row>
    <row r="161" spans="9:9" x14ac:dyDescent="0.25">
      <c r="I161" s="68"/>
    </row>
    <row r="162" spans="9:9" x14ac:dyDescent="0.25">
      <c r="I162" s="68"/>
    </row>
    <row r="163" spans="9:9" x14ac:dyDescent="0.25">
      <c r="I163" s="68"/>
    </row>
    <row r="164" spans="9:9" x14ac:dyDescent="0.25">
      <c r="I164" s="68"/>
    </row>
  </sheetData>
  <mergeCells count="2">
    <mergeCell ref="E14:F14"/>
    <mergeCell ref="G14:H14"/>
  </mergeCells>
  <pageMargins left="0.70866141732283472" right="0.70866141732283472" top="0.74803149606299213" bottom="0.74803149606299213" header="0.31496062992125984" footer="0.31496062992125984"/>
  <pageSetup scale="54" firstPageNumber="3" fitToHeight="10" orientation="portrait" useFirstPageNumber="1" r:id="rId1"/>
  <ignoredErrors>
    <ignoredError sqref="E21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3:H31"/>
  <sheetViews>
    <sheetView topLeftCell="A4" zoomScale="90" zoomScaleNormal="90" workbookViewId="0">
      <selection activeCell="D13" sqref="D13"/>
    </sheetView>
  </sheetViews>
  <sheetFormatPr baseColWidth="10" defaultColWidth="11.5703125" defaultRowHeight="24.75" customHeight="1" x14ac:dyDescent="0.25"/>
  <cols>
    <col min="1" max="1" width="7.5703125" style="1" customWidth="1"/>
    <col min="2" max="2" width="43.28515625" style="1" customWidth="1"/>
    <col min="3" max="3" width="19.140625" style="1" bestFit="1" customWidth="1"/>
    <col min="4" max="4" width="22.140625" style="1" customWidth="1"/>
    <col min="5" max="5" width="16" style="2" bestFit="1" customWidth="1"/>
    <col min="6" max="6" width="4.85546875" style="1" customWidth="1"/>
    <col min="7" max="7" width="20.85546875" style="1" customWidth="1"/>
    <col min="8" max="8" width="17.42578125" style="1" bestFit="1" customWidth="1"/>
    <col min="9" max="9" width="8.42578125" style="1" bestFit="1" customWidth="1"/>
    <col min="10" max="10" width="20.5703125" style="1" bestFit="1" customWidth="1"/>
    <col min="11" max="11" width="12.85546875" style="1" bestFit="1" customWidth="1"/>
    <col min="12" max="12" width="16.5703125" style="1" bestFit="1" customWidth="1"/>
    <col min="13" max="16384" width="11.5703125" style="1"/>
  </cols>
  <sheetData>
    <row r="3" spans="2:8" ht="24.75" customHeight="1" x14ac:dyDescent="0.25">
      <c r="B3" s="484" t="s">
        <v>171</v>
      </c>
      <c r="C3" s="484"/>
      <c r="D3" s="484"/>
      <c r="E3" s="72"/>
    </row>
    <row r="4" spans="2:8" ht="24.75" customHeight="1" x14ac:dyDescent="0.25">
      <c r="B4" s="484" t="s">
        <v>170</v>
      </c>
      <c r="C4" s="484"/>
      <c r="D4" s="484"/>
      <c r="E4" s="72"/>
    </row>
    <row r="5" spans="2:8" ht="24.75" customHeight="1" x14ac:dyDescent="0.25">
      <c r="B5" s="484" t="s">
        <v>158</v>
      </c>
      <c r="C5" s="484"/>
      <c r="D5" s="484"/>
      <c r="E5" s="72"/>
    </row>
    <row r="6" spans="2:8" ht="24.75" customHeight="1" x14ac:dyDescent="0.25">
      <c r="B6" s="496">
        <v>45504</v>
      </c>
      <c r="C6" s="496"/>
      <c r="D6" s="496"/>
      <c r="E6" s="72"/>
    </row>
    <row r="7" spans="2:8" ht="24.75" customHeight="1" thickBot="1" x14ac:dyDescent="0.3">
      <c r="B7" s="74"/>
      <c r="C7" s="74"/>
      <c r="D7" s="74"/>
      <c r="E7" s="75"/>
    </row>
    <row r="8" spans="2:8" ht="24.75" customHeight="1" thickBot="1" x14ac:dyDescent="0.3">
      <c r="B8" s="76" t="s">
        <v>183</v>
      </c>
      <c r="C8" s="77" t="s">
        <v>157</v>
      </c>
      <c r="D8" s="78" t="s">
        <v>156</v>
      </c>
    </row>
    <row r="9" spans="2:8" ht="15.75" hidden="1" customHeight="1" x14ac:dyDescent="0.25">
      <c r="B9" s="79" t="s">
        <v>504</v>
      </c>
      <c r="C9" s="66"/>
      <c r="D9" s="80">
        <v>0</v>
      </c>
    </row>
    <row r="10" spans="2:8" ht="24.75" customHeight="1" x14ac:dyDescent="0.25">
      <c r="B10" s="79" t="s">
        <v>159</v>
      </c>
      <c r="C10" s="66"/>
      <c r="D10" s="80">
        <v>200000</v>
      </c>
    </row>
    <row r="11" spans="2:8" ht="24.75" customHeight="1" x14ac:dyDescent="0.25">
      <c r="B11" s="81" t="s">
        <v>307</v>
      </c>
      <c r="C11" s="82"/>
      <c r="D11" s="83">
        <v>281948745.22000003</v>
      </c>
      <c r="G11" s="2"/>
      <c r="H11" s="20"/>
    </row>
    <row r="12" spans="2:8" ht="24.75" customHeight="1" x14ac:dyDescent="0.25">
      <c r="B12" s="81" t="s">
        <v>308</v>
      </c>
      <c r="C12" s="82"/>
      <c r="D12" s="83">
        <v>50471.38</v>
      </c>
    </row>
    <row r="13" spans="2:8" ht="24.75" customHeight="1" x14ac:dyDescent="0.25">
      <c r="B13" s="81" t="s">
        <v>271</v>
      </c>
      <c r="C13" s="84">
        <v>58</v>
      </c>
      <c r="D13" s="83">
        <v>10154.17</v>
      </c>
      <c r="G13" s="20"/>
    </row>
    <row r="14" spans="2:8" ht="24.75" customHeight="1" x14ac:dyDescent="0.4">
      <c r="B14" s="81" t="s">
        <v>272</v>
      </c>
      <c r="C14" s="82"/>
      <c r="D14" s="85">
        <f>+D13*57</f>
        <v>578787.69000000006</v>
      </c>
      <c r="G14" s="20"/>
    </row>
    <row r="15" spans="2:8" ht="24.75" customHeight="1" x14ac:dyDescent="0.4">
      <c r="B15" s="86" t="s">
        <v>106</v>
      </c>
      <c r="C15" s="87"/>
      <c r="D15" s="88">
        <f>SUM(D9:D14)</f>
        <v>282788158.46000004</v>
      </c>
      <c r="G15" s="2"/>
    </row>
    <row r="16" spans="2:8" ht="24.75" customHeight="1" thickBot="1" x14ac:dyDescent="0.3">
      <c r="B16" s="89"/>
      <c r="C16" s="90"/>
      <c r="D16" s="91"/>
    </row>
    <row r="17" spans="3:5" ht="24.75" customHeight="1" x14ac:dyDescent="0.25">
      <c r="D17" s="20"/>
    </row>
    <row r="18" spans="3:5" ht="24.75" hidden="1" customHeight="1" x14ac:dyDescent="0.25">
      <c r="D18" s="92"/>
    </row>
    <row r="19" spans="3:5" ht="24.75" hidden="1" customHeight="1" x14ac:dyDescent="0.25">
      <c r="C19" s="493" t="s">
        <v>624</v>
      </c>
      <c r="D19" s="20">
        <f>+D13</f>
        <v>10154.17</v>
      </c>
    </row>
    <row r="20" spans="3:5" ht="24.75" hidden="1" customHeight="1" x14ac:dyDescent="0.25">
      <c r="C20" s="494"/>
      <c r="D20" s="319" t="s">
        <v>623</v>
      </c>
    </row>
    <row r="21" spans="3:5" ht="24.75" hidden="1" customHeight="1" x14ac:dyDescent="0.25">
      <c r="C21" s="495"/>
      <c r="D21" s="2">
        <f>+D19*57.5</f>
        <v>583864.77500000002</v>
      </c>
    </row>
    <row r="22" spans="3:5" ht="24.75" hidden="1" customHeight="1" x14ac:dyDescent="0.25"/>
    <row r="23" spans="3:5" ht="24.75" hidden="1" customHeight="1" x14ac:dyDescent="0.25">
      <c r="C23" s="493" t="s">
        <v>625</v>
      </c>
      <c r="D23" s="61">
        <v>14152.03</v>
      </c>
    </row>
    <row r="24" spans="3:5" ht="24.75" hidden="1" customHeight="1" x14ac:dyDescent="0.4">
      <c r="C24" s="494"/>
      <c r="D24" s="102">
        <v>798174.51</v>
      </c>
    </row>
    <row r="25" spans="3:5" ht="24.75" hidden="1" customHeight="1" x14ac:dyDescent="0.25">
      <c r="C25" s="495"/>
      <c r="D25" s="20">
        <f>SUM(D23:D24)</f>
        <v>812326.54</v>
      </c>
    </row>
    <row r="26" spans="3:5" ht="24.75" hidden="1" customHeight="1" x14ac:dyDescent="0.25"/>
    <row r="27" spans="3:5" ht="24.75" hidden="1" customHeight="1" x14ac:dyDescent="0.25">
      <c r="C27" s="493" t="s">
        <v>626</v>
      </c>
      <c r="D27" s="20">
        <f>+D21</f>
        <v>583864.77500000002</v>
      </c>
    </row>
    <row r="28" spans="3:5" ht="24.75" hidden="1" customHeight="1" x14ac:dyDescent="0.25">
      <c r="C28" s="494"/>
      <c r="D28" s="20">
        <f>-D25</f>
        <v>-812326.54</v>
      </c>
    </row>
    <row r="29" spans="3:5" ht="24.75" hidden="1" customHeight="1" thickBot="1" x14ac:dyDescent="0.3">
      <c r="C29" s="495"/>
      <c r="D29" s="320">
        <f>SUM(D27:D28)</f>
        <v>-228461.76500000001</v>
      </c>
    </row>
    <row r="30" spans="3:5" ht="24.75" hidden="1" customHeight="1" thickTop="1" x14ac:dyDescent="0.25">
      <c r="E30" s="55"/>
    </row>
    <row r="31" spans="3:5" ht="24.75" customHeight="1" x14ac:dyDescent="0.25">
      <c r="E31" s="55"/>
    </row>
  </sheetData>
  <mergeCells count="7">
    <mergeCell ref="C23:C25"/>
    <mergeCell ref="C27:C29"/>
    <mergeCell ref="B3:D3"/>
    <mergeCell ref="B4:D4"/>
    <mergeCell ref="B5:D5"/>
    <mergeCell ref="B6:D6"/>
    <mergeCell ref="C19:C21"/>
  </mergeCells>
  <pageMargins left="0.59055118110236227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J212"/>
  <sheetViews>
    <sheetView topLeftCell="A7" zoomScale="90" zoomScaleNormal="90" zoomScaleSheetLayoutView="90" workbookViewId="0">
      <selection activeCell="D13" sqref="D13"/>
    </sheetView>
  </sheetViews>
  <sheetFormatPr baseColWidth="10" defaultColWidth="11.5703125" defaultRowHeight="24.75" customHeight="1" x14ac:dyDescent="0.25"/>
  <cols>
    <col min="1" max="1" width="5.5703125" style="1" customWidth="1"/>
    <col min="2" max="2" width="37.140625" style="1" customWidth="1"/>
    <col min="3" max="3" width="20.7109375" style="1" hidden="1" customWidth="1"/>
    <col min="4" max="4" width="19.5703125" style="1" hidden="1" customWidth="1"/>
    <col min="5" max="5" width="25" style="1" bestFit="1" customWidth="1"/>
    <col min="6" max="6" width="7.140625" style="1" customWidth="1"/>
    <col min="7" max="7" width="6.5703125" style="1" customWidth="1"/>
    <col min="8" max="8" width="20.5703125" style="1" bestFit="1" customWidth="1"/>
    <col min="9" max="9" width="8.42578125" style="1" bestFit="1" customWidth="1"/>
    <col min="10" max="10" width="20.5703125" style="1" bestFit="1" customWidth="1"/>
    <col min="11" max="11" width="12.85546875" style="1" bestFit="1" customWidth="1"/>
    <col min="12" max="12" width="16.5703125" style="1" bestFit="1" customWidth="1"/>
    <col min="13" max="16384" width="11.5703125" style="1"/>
  </cols>
  <sheetData>
    <row r="2" spans="2:10" ht="24.75" customHeight="1" x14ac:dyDescent="0.25">
      <c r="E2" s="93"/>
    </row>
    <row r="3" spans="2:10" ht="24.75" customHeight="1" x14ac:dyDescent="0.25">
      <c r="B3" s="484" t="s">
        <v>172</v>
      </c>
      <c r="C3" s="484"/>
      <c r="D3" s="484"/>
      <c r="E3" s="484"/>
    </row>
    <row r="4" spans="2:10" ht="24.75" customHeight="1" x14ac:dyDescent="0.25">
      <c r="B4" s="484" t="s">
        <v>170</v>
      </c>
      <c r="C4" s="484"/>
      <c r="D4" s="484"/>
      <c r="E4" s="484"/>
    </row>
    <row r="5" spans="2:10" ht="24.75" customHeight="1" x14ac:dyDescent="0.25">
      <c r="B5" s="484" t="s">
        <v>173</v>
      </c>
      <c r="C5" s="484"/>
      <c r="D5" s="484"/>
      <c r="E5" s="484"/>
    </row>
    <row r="6" spans="2:10" ht="24.75" customHeight="1" x14ac:dyDescent="0.25">
      <c r="B6" s="496">
        <v>45504</v>
      </c>
      <c r="C6" s="496"/>
      <c r="D6" s="496"/>
      <c r="E6" s="496"/>
    </row>
    <row r="7" spans="2:10" ht="24.75" customHeight="1" thickBot="1" x14ac:dyDescent="0.3">
      <c r="B7" s="74"/>
      <c r="C7" s="74"/>
      <c r="D7" s="74"/>
      <c r="E7" s="53"/>
    </row>
    <row r="8" spans="2:10" ht="24.75" customHeight="1" thickBot="1" x14ac:dyDescent="0.3">
      <c r="B8" s="76" t="s">
        <v>183</v>
      </c>
      <c r="C8" s="77" t="s">
        <v>155</v>
      </c>
      <c r="D8" s="77" t="s">
        <v>157</v>
      </c>
      <c r="E8" s="78" t="s">
        <v>156</v>
      </c>
    </row>
    <row r="9" spans="2:10" ht="24.75" customHeight="1" x14ac:dyDescent="0.25">
      <c r="B9" s="94" t="s">
        <v>442</v>
      </c>
      <c r="C9" s="95">
        <v>0</v>
      </c>
      <c r="D9" s="95">
        <v>0</v>
      </c>
      <c r="E9" s="83">
        <v>546008812.69000006</v>
      </c>
      <c r="G9" s="20"/>
      <c r="H9" s="20"/>
      <c r="J9" s="2"/>
    </row>
    <row r="10" spans="2:10" ht="24.75" customHeight="1" x14ac:dyDescent="0.25">
      <c r="B10" s="94" t="s">
        <v>539</v>
      </c>
      <c r="C10" s="95"/>
      <c r="D10" s="95"/>
      <c r="E10" s="83">
        <v>843003090.65999997</v>
      </c>
      <c r="G10" s="20"/>
      <c r="H10" s="20"/>
      <c r="J10" s="2"/>
    </row>
    <row r="11" spans="2:10" ht="24.75" customHeight="1" x14ac:dyDescent="0.25">
      <c r="B11" s="94" t="s">
        <v>770</v>
      </c>
      <c r="C11" s="95"/>
      <c r="D11" s="95"/>
      <c r="E11" s="83">
        <v>535123333.32999998</v>
      </c>
      <c r="G11" s="20"/>
      <c r="H11" s="20"/>
      <c r="J11" s="2"/>
    </row>
    <row r="12" spans="2:10" ht="24.75" customHeight="1" x14ac:dyDescent="0.4">
      <c r="B12" s="94" t="s">
        <v>819</v>
      </c>
      <c r="C12" s="95"/>
      <c r="D12" s="95"/>
      <c r="E12" s="85">
        <v>500000000</v>
      </c>
      <c r="G12" s="20"/>
      <c r="H12" s="20"/>
      <c r="J12" s="2"/>
    </row>
    <row r="13" spans="2:10" ht="25.5" customHeight="1" x14ac:dyDescent="0.4">
      <c r="B13" s="86" t="s">
        <v>169</v>
      </c>
      <c r="C13" s="96" t="e">
        <f>SUM(#REF!)</f>
        <v>#REF!</v>
      </c>
      <c r="D13" s="97"/>
      <c r="E13" s="88">
        <f>SUM(E9:E12)</f>
        <v>2424135236.6799998</v>
      </c>
      <c r="G13" s="98"/>
      <c r="H13" s="321"/>
      <c r="J13" s="20"/>
    </row>
    <row r="14" spans="2:10" ht="24.75" customHeight="1" thickBot="1" x14ac:dyDescent="0.3">
      <c r="B14" s="99"/>
      <c r="C14" s="100"/>
      <c r="D14" s="100"/>
      <c r="E14" s="91"/>
      <c r="G14" s="2"/>
      <c r="J14" s="20"/>
    </row>
    <row r="15" spans="2:10" ht="24.75" customHeight="1" x14ac:dyDescent="0.25">
      <c r="B15" s="16"/>
      <c r="C15" s="101"/>
      <c r="D15" s="101"/>
      <c r="G15" s="2"/>
      <c r="H15" s="20"/>
      <c r="J15" s="20"/>
    </row>
    <row r="16" spans="2:10" ht="24.75" customHeight="1" x14ac:dyDescent="0.25">
      <c r="B16" s="71"/>
      <c r="C16" s="61"/>
      <c r="D16" s="61"/>
      <c r="E16" s="390"/>
      <c r="G16" s="20"/>
      <c r="H16" s="20"/>
      <c r="J16" s="20"/>
    </row>
    <row r="17" spans="2:8" ht="24.75" customHeight="1" x14ac:dyDescent="0.25">
      <c r="B17" s="71"/>
      <c r="C17" s="61"/>
      <c r="D17" s="61"/>
      <c r="E17" s="390"/>
      <c r="G17" s="20"/>
      <c r="H17" s="20"/>
    </row>
    <row r="18" spans="2:8" ht="24.75" customHeight="1" x14ac:dyDescent="0.25">
      <c r="C18" s="2"/>
      <c r="D18" s="103"/>
      <c r="E18" s="390"/>
      <c r="G18" s="20"/>
      <c r="H18" s="20"/>
    </row>
    <row r="19" spans="2:8" ht="24.75" hidden="1" customHeight="1" x14ac:dyDescent="0.4">
      <c r="C19" s="2"/>
      <c r="D19" s="104"/>
      <c r="E19" s="105"/>
      <c r="G19" s="20"/>
      <c r="H19" s="20"/>
    </row>
    <row r="20" spans="2:8" ht="24.75" customHeight="1" x14ac:dyDescent="0.4">
      <c r="C20" s="22"/>
      <c r="D20" s="31"/>
      <c r="E20" s="98"/>
      <c r="G20" s="20"/>
      <c r="H20" s="20"/>
    </row>
    <row r="21" spans="2:8" ht="24.75" customHeight="1" x14ac:dyDescent="0.25">
      <c r="C21" s="3"/>
      <c r="D21" s="31"/>
      <c r="E21" s="60"/>
      <c r="H21" s="20"/>
    </row>
    <row r="22" spans="2:8" ht="24.75" customHeight="1" x14ac:dyDescent="0.25">
      <c r="C22" s="3"/>
      <c r="D22" s="31"/>
      <c r="E22" s="31"/>
      <c r="H22" s="20"/>
    </row>
    <row r="23" spans="2:8" ht="24.75" customHeight="1" x14ac:dyDescent="0.25">
      <c r="C23" s="3"/>
      <c r="D23" s="3"/>
      <c r="E23" s="3"/>
      <c r="H23" s="20"/>
    </row>
    <row r="24" spans="2:8" ht="24.75" customHeight="1" x14ac:dyDescent="0.25">
      <c r="C24" s="3"/>
      <c r="D24" s="3"/>
      <c r="E24" s="3"/>
      <c r="H24" s="20"/>
    </row>
    <row r="25" spans="2:8" ht="24.75" customHeight="1" x14ac:dyDescent="0.25">
      <c r="C25" s="3"/>
      <c r="D25" s="3"/>
      <c r="E25" s="3"/>
      <c r="H25" s="20"/>
    </row>
    <row r="26" spans="2:8" ht="24.75" customHeight="1" x14ac:dyDescent="0.25">
      <c r="C26" s="3"/>
      <c r="D26" s="3"/>
      <c r="E26" s="3"/>
      <c r="H26" s="20"/>
    </row>
    <row r="27" spans="2:8" ht="24.75" customHeight="1" x14ac:dyDescent="0.25">
      <c r="C27" s="3"/>
      <c r="D27" s="3"/>
      <c r="E27" s="3"/>
      <c r="H27" s="20"/>
    </row>
    <row r="28" spans="2:8" ht="24.75" customHeight="1" x14ac:dyDescent="0.25">
      <c r="C28" s="3"/>
      <c r="D28" s="3"/>
      <c r="E28" s="3"/>
      <c r="H28" s="20"/>
    </row>
    <row r="29" spans="2:8" ht="24.75" customHeight="1" x14ac:dyDescent="0.25">
      <c r="C29" s="3"/>
      <c r="D29" s="3"/>
      <c r="E29" s="3"/>
      <c r="H29" s="20"/>
    </row>
    <row r="30" spans="2:8" ht="24.75" customHeight="1" x14ac:dyDescent="0.25">
      <c r="C30" s="3"/>
      <c r="D30" s="3"/>
      <c r="E30" s="3"/>
      <c r="H30" s="20"/>
    </row>
    <row r="31" spans="2:8" ht="24.75" customHeight="1" x14ac:dyDescent="0.25">
      <c r="C31" s="3"/>
      <c r="D31" s="3"/>
      <c r="E31" s="3"/>
      <c r="H31" s="20"/>
    </row>
    <row r="32" spans="2:8" ht="24.75" customHeight="1" x14ac:dyDescent="0.25">
      <c r="C32" s="3"/>
      <c r="D32" s="3"/>
      <c r="E32" s="3"/>
      <c r="H32" s="20"/>
    </row>
    <row r="33" spans="3:5" ht="24.75" customHeight="1" x14ac:dyDescent="0.25">
      <c r="C33" s="3"/>
      <c r="D33" s="3"/>
      <c r="E33" s="3"/>
    </row>
    <row r="34" spans="3:5" ht="24.75" customHeight="1" x14ac:dyDescent="0.25">
      <c r="C34" s="3"/>
      <c r="D34" s="3"/>
      <c r="E34" s="3"/>
    </row>
    <row r="35" spans="3:5" ht="24.75" customHeight="1" x14ac:dyDescent="0.25">
      <c r="C35" s="3"/>
      <c r="D35" s="3"/>
      <c r="E35" s="3"/>
    </row>
    <row r="36" spans="3:5" ht="24.75" customHeight="1" x14ac:dyDescent="0.25">
      <c r="C36" s="3"/>
      <c r="D36" s="3"/>
      <c r="E36" s="3"/>
    </row>
    <row r="37" spans="3:5" ht="24.75" customHeight="1" x14ac:dyDescent="0.25">
      <c r="C37" s="3"/>
      <c r="D37" s="3"/>
      <c r="E37" s="3"/>
    </row>
    <row r="38" spans="3:5" ht="24.75" customHeight="1" x14ac:dyDescent="0.25">
      <c r="C38" s="3"/>
      <c r="D38" s="3"/>
      <c r="E38" s="3"/>
    </row>
    <row r="39" spans="3:5" ht="24.75" customHeight="1" x14ac:dyDescent="0.25">
      <c r="C39" s="3"/>
      <c r="D39" s="3"/>
      <c r="E39" s="3"/>
    </row>
    <row r="40" spans="3:5" ht="24.75" customHeight="1" x14ac:dyDescent="0.25">
      <c r="C40" s="3"/>
      <c r="D40" s="3"/>
      <c r="E40" s="3"/>
    </row>
    <row r="41" spans="3:5" ht="24.75" customHeight="1" x14ac:dyDescent="0.25">
      <c r="C41" s="3"/>
      <c r="D41" s="3"/>
      <c r="E41" s="3"/>
    </row>
    <row r="42" spans="3:5" ht="24.75" customHeight="1" x14ac:dyDescent="0.25">
      <c r="C42" s="3"/>
      <c r="D42" s="3"/>
      <c r="E42" s="3"/>
    </row>
    <row r="43" spans="3:5" ht="24.75" customHeight="1" x14ac:dyDescent="0.25">
      <c r="C43" s="3"/>
      <c r="D43" s="3"/>
      <c r="E43" s="3"/>
    </row>
    <row r="44" spans="3:5" ht="24.75" customHeight="1" x14ac:dyDescent="0.25">
      <c r="C44" s="3"/>
      <c r="D44" s="3"/>
      <c r="E44" s="3"/>
    </row>
    <row r="45" spans="3:5" ht="24.75" customHeight="1" x14ac:dyDescent="0.25">
      <c r="C45" s="3"/>
      <c r="D45" s="3"/>
      <c r="E45" s="3"/>
    </row>
    <row r="46" spans="3:5" ht="24.75" customHeight="1" x14ac:dyDescent="0.25">
      <c r="C46" s="3"/>
      <c r="D46" s="3"/>
      <c r="E46" s="3"/>
    </row>
    <row r="47" spans="3:5" ht="24.75" customHeight="1" x14ac:dyDescent="0.25">
      <c r="C47" s="3"/>
      <c r="D47" s="3"/>
      <c r="E47" s="3"/>
    </row>
    <row r="48" spans="3:5" ht="24.75" customHeight="1" x14ac:dyDescent="0.25">
      <c r="C48" s="3"/>
      <c r="D48" s="3"/>
      <c r="E48" s="3"/>
    </row>
    <row r="49" spans="3:5" ht="24.75" customHeight="1" x14ac:dyDescent="0.25">
      <c r="C49" s="3"/>
      <c r="D49" s="3"/>
      <c r="E49" s="3"/>
    </row>
    <row r="50" spans="3:5" ht="24.75" customHeight="1" x14ac:dyDescent="0.25">
      <c r="C50" s="3"/>
      <c r="D50" s="3"/>
      <c r="E50" s="3"/>
    </row>
    <row r="51" spans="3:5" ht="24.75" customHeight="1" x14ac:dyDescent="0.25">
      <c r="C51" s="3"/>
      <c r="D51" s="3"/>
      <c r="E51" s="3"/>
    </row>
    <row r="52" spans="3:5" ht="24.75" customHeight="1" x14ac:dyDescent="0.25">
      <c r="C52" s="3"/>
      <c r="D52" s="3"/>
      <c r="E52" s="3"/>
    </row>
    <row r="53" spans="3:5" ht="24.75" customHeight="1" x14ac:dyDescent="0.25">
      <c r="C53" s="3"/>
      <c r="D53" s="3"/>
      <c r="E53" s="3"/>
    </row>
    <row r="54" spans="3:5" ht="24.75" customHeight="1" x14ac:dyDescent="0.25">
      <c r="C54" s="3"/>
      <c r="D54" s="3"/>
      <c r="E54" s="3"/>
    </row>
    <row r="55" spans="3:5" ht="24.75" customHeight="1" x14ac:dyDescent="0.25">
      <c r="C55" s="3"/>
      <c r="D55" s="3"/>
      <c r="E55" s="3"/>
    </row>
    <row r="56" spans="3:5" ht="24.75" customHeight="1" x14ac:dyDescent="0.25">
      <c r="C56" s="3"/>
      <c r="D56" s="3"/>
      <c r="E56" s="3"/>
    </row>
    <row r="57" spans="3:5" ht="24.75" customHeight="1" x14ac:dyDescent="0.25">
      <c r="C57" s="3"/>
      <c r="D57" s="3"/>
      <c r="E57" s="3"/>
    </row>
    <row r="58" spans="3:5" ht="24.75" customHeight="1" x14ac:dyDescent="0.25">
      <c r="C58" s="3"/>
      <c r="D58" s="3"/>
      <c r="E58" s="3"/>
    </row>
    <row r="59" spans="3:5" ht="24.75" customHeight="1" x14ac:dyDescent="0.25">
      <c r="C59" s="3"/>
      <c r="D59" s="3"/>
      <c r="E59" s="3"/>
    </row>
    <row r="60" spans="3:5" ht="24.75" customHeight="1" x14ac:dyDescent="0.25">
      <c r="C60" s="3"/>
      <c r="D60" s="3"/>
      <c r="E60" s="3"/>
    </row>
    <row r="61" spans="3:5" ht="24.75" customHeight="1" x14ac:dyDescent="0.25">
      <c r="C61" s="3"/>
      <c r="D61" s="3"/>
      <c r="E61" s="3"/>
    </row>
    <row r="62" spans="3:5" ht="24.75" customHeight="1" x14ac:dyDescent="0.25">
      <c r="C62" s="3"/>
      <c r="D62" s="3"/>
      <c r="E62" s="3"/>
    </row>
    <row r="63" spans="3:5" ht="24.75" customHeight="1" x14ac:dyDescent="0.25">
      <c r="C63" s="3"/>
      <c r="D63" s="3"/>
      <c r="E63" s="3"/>
    </row>
    <row r="64" spans="3:5" ht="24.75" customHeight="1" x14ac:dyDescent="0.25">
      <c r="C64" s="3"/>
      <c r="D64" s="3"/>
      <c r="E64" s="3"/>
    </row>
    <row r="65" spans="3:5" ht="24.75" customHeight="1" x14ac:dyDescent="0.25">
      <c r="C65" s="3"/>
      <c r="D65" s="3"/>
      <c r="E65" s="3"/>
    </row>
    <row r="66" spans="3:5" ht="24.75" customHeight="1" x14ac:dyDescent="0.25">
      <c r="C66" s="3"/>
      <c r="D66" s="3"/>
      <c r="E66" s="3"/>
    </row>
    <row r="67" spans="3:5" ht="24.75" customHeight="1" x14ac:dyDescent="0.25">
      <c r="C67" s="3"/>
      <c r="D67" s="3"/>
      <c r="E67" s="3"/>
    </row>
    <row r="68" spans="3:5" ht="24.75" customHeight="1" x14ac:dyDescent="0.25">
      <c r="C68" s="3"/>
      <c r="D68" s="3"/>
      <c r="E68" s="3"/>
    </row>
    <row r="69" spans="3:5" ht="24.75" customHeight="1" x14ac:dyDescent="0.25">
      <c r="C69" s="3"/>
      <c r="D69" s="3"/>
      <c r="E69" s="3"/>
    </row>
    <row r="70" spans="3:5" ht="24.75" customHeight="1" x14ac:dyDescent="0.25">
      <c r="C70" s="3"/>
      <c r="D70" s="3"/>
      <c r="E70" s="3"/>
    </row>
    <row r="71" spans="3:5" ht="24.75" customHeight="1" x14ac:dyDescent="0.25">
      <c r="C71" s="3"/>
      <c r="D71" s="3"/>
      <c r="E71" s="3"/>
    </row>
    <row r="72" spans="3:5" ht="24.75" customHeight="1" x14ac:dyDescent="0.25">
      <c r="C72" s="3"/>
      <c r="D72" s="3"/>
      <c r="E72" s="3"/>
    </row>
    <row r="73" spans="3:5" ht="24.75" customHeight="1" x14ac:dyDescent="0.25">
      <c r="C73" s="3"/>
      <c r="D73" s="3"/>
      <c r="E73" s="3"/>
    </row>
    <row r="74" spans="3:5" ht="24.75" customHeight="1" x14ac:dyDescent="0.25">
      <c r="C74" s="3"/>
      <c r="D74" s="3"/>
      <c r="E74" s="3"/>
    </row>
    <row r="75" spans="3:5" ht="24.75" customHeight="1" x14ac:dyDescent="0.25">
      <c r="C75" s="3"/>
      <c r="D75" s="3"/>
      <c r="E75" s="3"/>
    </row>
    <row r="76" spans="3:5" ht="24.75" customHeight="1" x14ac:dyDescent="0.25">
      <c r="C76" s="3"/>
      <c r="D76" s="3"/>
      <c r="E76" s="3"/>
    </row>
    <row r="77" spans="3:5" ht="24.75" customHeight="1" x14ac:dyDescent="0.25">
      <c r="C77" s="3"/>
      <c r="D77" s="3"/>
      <c r="E77" s="3"/>
    </row>
    <row r="78" spans="3:5" ht="24.75" customHeight="1" x14ac:dyDescent="0.25">
      <c r="C78" s="3"/>
      <c r="D78" s="3"/>
      <c r="E78" s="3"/>
    </row>
    <row r="79" spans="3:5" ht="24.75" customHeight="1" x14ac:dyDescent="0.25">
      <c r="C79" s="3"/>
      <c r="D79" s="3"/>
      <c r="E79" s="3"/>
    </row>
    <row r="80" spans="3:5" ht="24.75" customHeight="1" x14ac:dyDescent="0.25">
      <c r="C80" s="3"/>
      <c r="D80" s="3"/>
      <c r="E80" s="3"/>
    </row>
    <row r="81" spans="3:5" ht="24.75" customHeight="1" x14ac:dyDescent="0.25">
      <c r="C81" s="3"/>
      <c r="D81" s="3"/>
      <c r="E81" s="3"/>
    </row>
    <row r="82" spans="3:5" ht="24.75" customHeight="1" x14ac:dyDescent="0.25">
      <c r="C82" s="3"/>
      <c r="D82" s="3"/>
      <c r="E82" s="3"/>
    </row>
    <row r="83" spans="3:5" ht="24.75" customHeight="1" x14ac:dyDescent="0.25">
      <c r="C83" s="3"/>
      <c r="D83" s="3"/>
      <c r="E83" s="3"/>
    </row>
    <row r="84" spans="3:5" ht="24.75" customHeight="1" x14ac:dyDescent="0.25">
      <c r="C84" s="3"/>
      <c r="D84" s="3"/>
      <c r="E84" s="3"/>
    </row>
    <row r="85" spans="3:5" ht="24.75" customHeight="1" x14ac:dyDescent="0.25">
      <c r="C85" s="3"/>
      <c r="D85" s="3"/>
      <c r="E85" s="3"/>
    </row>
    <row r="86" spans="3:5" ht="24.75" customHeight="1" x14ac:dyDescent="0.25">
      <c r="C86" s="3"/>
      <c r="D86" s="3"/>
      <c r="E86" s="3"/>
    </row>
    <row r="87" spans="3:5" ht="24.75" customHeight="1" x14ac:dyDescent="0.25">
      <c r="C87" s="3"/>
      <c r="D87" s="3"/>
      <c r="E87" s="3"/>
    </row>
    <row r="88" spans="3:5" ht="24.75" customHeight="1" x14ac:dyDescent="0.25">
      <c r="C88" s="3"/>
      <c r="D88" s="3"/>
      <c r="E88" s="3"/>
    </row>
    <row r="89" spans="3:5" ht="24.75" customHeight="1" x14ac:dyDescent="0.25">
      <c r="C89" s="3"/>
      <c r="D89" s="3"/>
      <c r="E89" s="3"/>
    </row>
    <row r="90" spans="3:5" ht="24.75" customHeight="1" x14ac:dyDescent="0.25">
      <c r="C90" s="3"/>
      <c r="D90" s="3"/>
      <c r="E90" s="3"/>
    </row>
    <row r="91" spans="3:5" ht="24.75" customHeight="1" x14ac:dyDescent="0.25">
      <c r="C91" s="3"/>
      <c r="D91" s="3"/>
      <c r="E91" s="3"/>
    </row>
    <row r="92" spans="3:5" ht="24.75" customHeight="1" x14ac:dyDescent="0.25">
      <c r="C92" s="3"/>
      <c r="D92" s="3"/>
      <c r="E92" s="3"/>
    </row>
    <row r="93" spans="3:5" ht="24.75" customHeight="1" x14ac:dyDescent="0.25">
      <c r="C93" s="3"/>
      <c r="D93" s="3"/>
      <c r="E93" s="3"/>
    </row>
    <row r="94" spans="3:5" ht="24.75" customHeight="1" x14ac:dyDescent="0.25">
      <c r="C94" s="3"/>
      <c r="D94" s="3"/>
      <c r="E94" s="3"/>
    </row>
    <row r="95" spans="3:5" ht="24.75" customHeight="1" x14ac:dyDescent="0.25">
      <c r="C95" s="3"/>
      <c r="D95" s="3"/>
      <c r="E95" s="3"/>
    </row>
    <row r="96" spans="3:5" ht="24.75" customHeight="1" x14ac:dyDescent="0.25">
      <c r="C96" s="3"/>
      <c r="D96" s="3"/>
      <c r="E96" s="3"/>
    </row>
    <row r="97" spans="3:5" ht="24.75" customHeight="1" x14ac:dyDescent="0.25">
      <c r="C97" s="3"/>
      <c r="D97" s="3"/>
      <c r="E97" s="3"/>
    </row>
    <row r="98" spans="3:5" ht="24.75" customHeight="1" x14ac:dyDescent="0.25">
      <c r="C98" s="3"/>
      <c r="D98" s="3"/>
      <c r="E98" s="3"/>
    </row>
    <row r="99" spans="3:5" ht="24.75" customHeight="1" x14ac:dyDescent="0.25">
      <c r="C99" s="3"/>
      <c r="D99" s="3"/>
      <c r="E99" s="3"/>
    </row>
    <row r="100" spans="3:5" ht="24.75" customHeight="1" x14ac:dyDescent="0.25">
      <c r="C100" s="3"/>
      <c r="D100" s="3"/>
      <c r="E100" s="3"/>
    </row>
    <row r="101" spans="3:5" ht="24.75" customHeight="1" x14ac:dyDescent="0.25">
      <c r="C101" s="3"/>
      <c r="D101" s="3"/>
      <c r="E101" s="3"/>
    </row>
    <row r="102" spans="3:5" ht="24.75" customHeight="1" x14ac:dyDescent="0.25">
      <c r="C102" s="3"/>
      <c r="D102" s="3"/>
      <c r="E102" s="3"/>
    </row>
    <row r="103" spans="3:5" ht="24.75" customHeight="1" x14ac:dyDescent="0.25">
      <c r="C103" s="3"/>
      <c r="D103" s="3"/>
      <c r="E103" s="3"/>
    </row>
    <row r="104" spans="3:5" ht="24.75" customHeight="1" x14ac:dyDescent="0.25">
      <c r="C104" s="3"/>
      <c r="D104" s="3"/>
      <c r="E104" s="3"/>
    </row>
    <row r="105" spans="3:5" ht="24.75" customHeight="1" x14ac:dyDescent="0.25">
      <c r="C105" s="3"/>
      <c r="D105" s="3"/>
      <c r="E105" s="3"/>
    </row>
    <row r="106" spans="3:5" ht="24.75" customHeight="1" x14ac:dyDescent="0.25">
      <c r="C106" s="3"/>
      <c r="D106" s="3"/>
      <c r="E106" s="3"/>
    </row>
    <row r="107" spans="3:5" ht="24.75" customHeight="1" x14ac:dyDescent="0.25">
      <c r="C107" s="3"/>
      <c r="D107" s="3"/>
      <c r="E107" s="3"/>
    </row>
    <row r="108" spans="3:5" ht="24.75" customHeight="1" x14ac:dyDescent="0.25">
      <c r="C108" s="3"/>
      <c r="D108" s="3"/>
      <c r="E108" s="3"/>
    </row>
    <row r="109" spans="3:5" ht="24.75" customHeight="1" x14ac:dyDescent="0.25">
      <c r="C109" s="3"/>
      <c r="D109" s="3"/>
      <c r="E109" s="3"/>
    </row>
    <row r="110" spans="3:5" ht="24.75" customHeight="1" x14ac:dyDescent="0.25">
      <c r="C110" s="3"/>
      <c r="D110" s="3"/>
      <c r="E110" s="3"/>
    </row>
    <row r="111" spans="3:5" ht="24.75" customHeight="1" x14ac:dyDescent="0.25">
      <c r="C111" s="3"/>
      <c r="D111" s="3"/>
      <c r="E111" s="3"/>
    </row>
    <row r="112" spans="3:5" ht="24.75" customHeight="1" x14ac:dyDescent="0.25">
      <c r="C112" s="3"/>
      <c r="D112" s="3"/>
      <c r="E112" s="3"/>
    </row>
    <row r="113" spans="3:5" ht="24.75" customHeight="1" x14ac:dyDescent="0.25">
      <c r="C113" s="3"/>
      <c r="D113" s="3"/>
      <c r="E113" s="3"/>
    </row>
    <row r="114" spans="3:5" ht="24.75" customHeight="1" x14ac:dyDescent="0.25">
      <c r="C114" s="3"/>
      <c r="D114" s="3"/>
      <c r="E114" s="3"/>
    </row>
    <row r="115" spans="3:5" ht="24.75" customHeight="1" x14ac:dyDescent="0.25">
      <c r="C115" s="3"/>
      <c r="D115" s="3"/>
      <c r="E115" s="3"/>
    </row>
    <row r="116" spans="3:5" ht="24.75" customHeight="1" x14ac:dyDescent="0.25">
      <c r="C116" s="3"/>
      <c r="D116" s="3"/>
      <c r="E116" s="3"/>
    </row>
    <row r="117" spans="3:5" ht="24.75" customHeight="1" x14ac:dyDescent="0.25">
      <c r="C117" s="3"/>
      <c r="D117" s="3"/>
      <c r="E117" s="3"/>
    </row>
    <row r="118" spans="3:5" ht="24.75" customHeight="1" x14ac:dyDescent="0.25">
      <c r="C118" s="3"/>
      <c r="D118" s="3"/>
      <c r="E118" s="3"/>
    </row>
    <row r="119" spans="3:5" ht="24.75" customHeight="1" x14ac:dyDescent="0.25">
      <c r="C119" s="3"/>
      <c r="D119" s="3"/>
      <c r="E119" s="3"/>
    </row>
    <row r="120" spans="3:5" ht="24.75" customHeight="1" x14ac:dyDescent="0.25">
      <c r="C120" s="3"/>
      <c r="D120" s="3"/>
      <c r="E120" s="3"/>
    </row>
    <row r="121" spans="3:5" ht="24.75" customHeight="1" x14ac:dyDescent="0.25">
      <c r="C121" s="3"/>
      <c r="D121" s="3"/>
      <c r="E121" s="3"/>
    </row>
    <row r="122" spans="3:5" ht="24.75" customHeight="1" x14ac:dyDescent="0.25">
      <c r="C122" s="3"/>
      <c r="D122" s="3"/>
      <c r="E122" s="3"/>
    </row>
    <row r="123" spans="3:5" ht="24.75" customHeight="1" x14ac:dyDescent="0.25">
      <c r="C123" s="3"/>
      <c r="D123" s="3"/>
      <c r="E123" s="3"/>
    </row>
    <row r="124" spans="3:5" ht="24.75" customHeight="1" x14ac:dyDescent="0.25">
      <c r="C124" s="3"/>
      <c r="D124" s="3"/>
      <c r="E124" s="3"/>
    </row>
    <row r="125" spans="3:5" ht="24.75" customHeight="1" x14ac:dyDescent="0.25">
      <c r="C125" s="3"/>
      <c r="D125" s="3"/>
      <c r="E125" s="3"/>
    </row>
    <row r="126" spans="3:5" ht="24.75" customHeight="1" x14ac:dyDescent="0.25">
      <c r="C126" s="3"/>
      <c r="D126" s="3"/>
      <c r="E126" s="3"/>
    </row>
    <row r="127" spans="3:5" ht="24.75" customHeight="1" x14ac:dyDescent="0.25">
      <c r="C127" s="3"/>
      <c r="D127" s="3"/>
      <c r="E127" s="3"/>
    </row>
    <row r="128" spans="3:5" ht="24.75" customHeight="1" x14ac:dyDescent="0.25">
      <c r="C128" s="3"/>
      <c r="D128" s="3"/>
      <c r="E128" s="3"/>
    </row>
    <row r="129" spans="3:5" ht="24.75" customHeight="1" x14ac:dyDescent="0.25">
      <c r="C129" s="3"/>
      <c r="D129" s="3"/>
      <c r="E129" s="3"/>
    </row>
    <row r="130" spans="3:5" ht="24.75" customHeight="1" x14ac:dyDescent="0.25">
      <c r="C130" s="3"/>
      <c r="D130" s="3"/>
      <c r="E130" s="3"/>
    </row>
    <row r="131" spans="3:5" ht="24.75" customHeight="1" x14ac:dyDescent="0.25">
      <c r="C131" s="3"/>
      <c r="D131" s="3"/>
      <c r="E131" s="3"/>
    </row>
    <row r="132" spans="3:5" ht="24.75" customHeight="1" x14ac:dyDescent="0.25">
      <c r="C132" s="3"/>
      <c r="D132" s="3"/>
      <c r="E132" s="3"/>
    </row>
    <row r="133" spans="3:5" ht="24.75" customHeight="1" x14ac:dyDescent="0.25">
      <c r="C133" s="3"/>
      <c r="D133" s="3"/>
      <c r="E133" s="3"/>
    </row>
    <row r="134" spans="3:5" ht="24.75" customHeight="1" x14ac:dyDescent="0.25">
      <c r="C134" s="3"/>
      <c r="D134" s="3"/>
      <c r="E134" s="3"/>
    </row>
    <row r="135" spans="3:5" ht="24.75" customHeight="1" x14ac:dyDescent="0.25">
      <c r="C135" s="3"/>
      <c r="D135" s="3"/>
      <c r="E135" s="3"/>
    </row>
    <row r="136" spans="3:5" ht="24.75" customHeight="1" x14ac:dyDescent="0.25">
      <c r="C136" s="3"/>
      <c r="D136" s="3"/>
      <c r="E136" s="3"/>
    </row>
    <row r="137" spans="3:5" ht="24.75" customHeight="1" x14ac:dyDescent="0.25">
      <c r="C137" s="3"/>
      <c r="D137" s="3"/>
      <c r="E137" s="3"/>
    </row>
    <row r="138" spans="3:5" ht="24.75" customHeight="1" x14ac:dyDescent="0.25">
      <c r="C138" s="3"/>
      <c r="D138" s="3"/>
      <c r="E138" s="3"/>
    </row>
    <row r="139" spans="3:5" ht="24.75" customHeight="1" x14ac:dyDescent="0.25">
      <c r="C139" s="3"/>
      <c r="D139" s="3"/>
      <c r="E139" s="3"/>
    </row>
    <row r="140" spans="3:5" ht="24.75" customHeight="1" x14ac:dyDescent="0.25">
      <c r="C140" s="3"/>
      <c r="D140" s="3"/>
      <c r="E140" s="3"/>
    </row>
    <row r="141" spans="3:5" ht="24.75" customHeight="1" x14ac:dyDescent="0.25">
      <c r="C141" s="3"/>
      <c r="D141" s="3"/>
      <c r="E141" s="3"/>
    </row>
    <row r="142" spans="3:5" ht="24.75" customHeight="1" x14ac:dyDescent="0.25">
      <c r="C142" s="3"/>
      <c r="D142" s="3"/>
      <c r="E142" s="3"/>
    </row>
    <row r="143" spans="3:5" ht="24.75" customHeight="1" x14ac:dyDescent="0.25">
      <c r="C143" s="3"/>
      <c r="D143" s="3"/>
      <c r="E143" s="3"/>
    </row>
    <row r="144" spans="3:5" ht="24.75" customHeight="1" x14ac:dyDescent="0.25">
      <c r="C144" s="3"/>
      <c r="D144" s="3"/>
      <c r="E144" s="3"/>
    </row>
    <row r="145" spans="3:5" ht="24.75" customHeight="1" x14ac:dyDescent="0.25">
      <c r="C145" s="3"/>
      <c r="D145" s="3"/>
      <c r="E145" s="3"/>
    </row>
    <row r="146" spans="3:5" ht="24.75" customHeight="1" x14ac:dyDescent="0.25">
      <c r="C146" s="3"/>
      <c r="D146" s="3"/>
      <c r="E146" s="3"/>
    </row>
    <row r="147" spans="3:5" ht="24.75" customHeight="1" x14ac:dyDescent="0.25">
      <c r="C147" s="3"/>
      <c r="D147" s="3"/>
      <c r="E147" s="3"/>
    </row>
    <row r="148" spans="3:5" ht="24.75" customHeight="1" x14ac:dyDescent="0.25">
      <c r="C148" s="3"/>
      <c r="D148" s="3"/>
      <c r="E148" s="3"/>
    </row>
    <row r="149" spans="3:5" ht="24.75" customHeight="1" x14ac:dyDescent="0.25">
      <c r="C149" s="3"/>
      <c r="D149" s="3"/>
      <c r="E149" s="3"/>
    </row>
    <row r="150" spans="3:5" ht="24.75" customHeight="1" x14ac:dyDescent="0.25">
      <c r="C150" s="3"/>
      <c r="D150" s="3"/>
      <c r="E150" s="3"/>
    </row>
    <row r="151" spans="3:5" ht="24.75" customHeight="1" x14ac:dyDescent="0.25">
      <c r="C151" s="3"/>
      <c r="D151" s="3"/>
      <c r="E151" s="3"/>
    </row>
    <row r="152" spans="3:5" ht="24.75" customHeight="1" x14ac:dyDescent="0.25">
      <c r="C152" s="3"/>
      <c r="D152" s="3"/>
      <c r="E152" s="3"/>
    </row>
    <row r="153" spans="3:5" ht="24.75" customHeight="1" x14ac:dyDescent="0.25">
      <c r="C153" s="3"/>
      <c r="D153" s="3"/>
      <c r="E153" s="3"/>
    </row>
    <row r="154" spans="3:5" ht="24.75" customHeight="1" x14ac:dyDescent="0.25">
      <c r="C154" s="3"/>
      <c r="D154" s="3"/>
      <c r="E154" s="3"/>
    </row>
    <row r="155" spans="3:5" ht="24.75" customHeight="1" x14ac:dyDescent="0.25">
      <c r="C155" s="3"/>
      <c r="D155" s="3"/>
      <c r="E155" s="3"/>
    </row>
    <row r="156" spans="3:5" ht="24.75" customHeight="1" x14ac:dyDescent="0.25">
      <c r="C156" s="3"/>
      <c r="D156" s="3"/>
      <c r="E156" s="3"/>
    </row>
    <row r="157" spans="3:5" ht="24.75" customHeight="1" x14ac:dyDescent="0.25">
      <c r="C157" s="3"/>
      <c r="D157" s="3"/>
      <c r="E157" s="3"/>
    </row>
    <row r="158" spans="3:5" ht="24.75" customHeight="1" x14ac:dyDescent="0.25">
      <c r="C158" s="3"/>
      <c r="D158" s="3"/>
      <c r="E158" s="3"/>
    </row>
    <row r="159" spans="3:5" ht="24.75" customHeight="1" x14ac:dyDescent="0.25">
      <c r="C159" s="3"/>
      <c r="D159" s="3"/>
      <c r="E159" s="3"/>
    </row>
    <row r="160" spans="3:5" ht="24.75" customHeight="1" x14ac:dyDescent="0.25">
      <c r="C160" s="3"/>
      <c r="D160" s="3"/>
      <c r="E160" s="3"/>
    </row>
    <row r="161" spans="3:5" ht="24.75" customHeight="1" x14ac:dyDescent="0.25">
      <c r="C161" s="3"/>
      <c r="D161" s="3"/>
      <c r="E161" s="3"/>
    </row>
    <row r="162" spans="3:5" ht="24.75" customHeight="1" x14ac:dyDescent="0.25">
      <c r="C162" s="3"/>
      <c r="D162" s="3"/>
      <c r="E162" s="3"/>
    </row>
    <row r="163" spans="3:5" ht="24.75" customHeight="1" x14ac:dyDescent="0.25">
      <c r="C163" s="3"/>
      <c r="D163" s="3"/>
      <c r="E163" s="3"/>
    </row>
    <row r="164" spans="3:5" ht="24.75" customHeight="1" x14ac:dyDescent="0.25">
      <c r="C164" s="3"/>
      <c r="D164" s="3"/>
      <c r="E164" s="3"/>
    </row>
    <row r="165" spans="3:5" ht="24.75" customHeight="1" x14ac:dyDescent="0.25">
      <c r="C165" s="3"/>
      <c r="D165" s="3"/>
      <c r="E165" s="3"/>
    </row>
    <row r="166" spans="3:5" ht="24.75" customHeight="1" x14ac:dyDescent="0.25">
      <c r="C166" s="3"/>
      <c r="D166" s="3"/>
      <c r="E166" s="3"/>
    </row>
    <row r="167" spans="3:5" ht="24.75" customHeight="1" x14ac:dyDescent="0.25">
      <c r="C167" s="3"/>
      <c r="D167" s="3"/>
      <c r="E167" s="3"/>
    </row>
    <row r="168" spans="3:5" ht="24.75" customHeight="1" x14ac:dyDescent="0.25">
      <c r="C168" s="3"/>
      <c r="D168" s="3"/>
      <c r="E168" s="3"/>
    </row>
    <row r="169" spans="3:5" ht="24.75" customHeight="1" x14ac:dyDescent="0.25">
      <c r="C169" s="3"/>
      <c r="D169" s="3"/>
      <c r="E169" s="3"/>
    </row>
    <row r="170" spans="3:5" ht="24.75" customHeight="1" x14ac:dyDescent="0.25">
      <c r="C170" s="3"/>
      <c r="D170" s="3"/>
      <c r="E170" s="3"/>
    </row>
    <row r="171" spans="3:5" ht="24.75" customHeight="1" x14ac:dyDescent="0.25">
      <c r="C171" s="3"/>
      <c r="D171" s="3"/>
      <c r="E171" s="3"/>
    </row>
    <row r="172" spans="3:5" ht="24.75" customHeight="1" x14ac:dyDescent="0.25">
      <c r="C172" s="3"/>
      <c r="D172" s="3"/>
      <c r="E172" s="3"/>
    </row>
    <row r="173" spans="3:5" ht="24.75" customHeight="1" x14ac:dyDescent="0.25">
      <c r="C173" s="3"/>
      <c r="D173" s="3"/>
      <c r="E173" s="3"/>
    </row>
    <row r="174" spans="3:5" ht="24.75" customHeight="1" x14ac:dyDescent="0.25">
      <c r="C174" s="3"/>
      <c r="D174" s="3"/>
      <c r="E174" s="3"/>
    </row>
    <row r="175" spans="3:5" ht="24.75" customHeight="1" x14ac:dyDescent="0.25">
      <c r="C175" s="3"/>
      <c r="D175" s="3"/>
      <c r="E175" s="3"/>
    </row>
    <row r="176" spans="3:5" ht="24.75" customHeight="1" x14ac:dyDescent="0.25">
      <c r="C176" s="3"/>
      <c r="D176" s="3"/>
      <c r="E176" s="3"/>
    </row>
    <row r="177" spans="3:5" ht="24.75" customHeight="1" x14ac:dyDescent="0.25">
      <c r="C177" s="3"/>
      <c r="D177" s="3"/>
      <c r="E177" s="3"/>
    </row>
    <row r="178" spans="3:5" ht="24.75" customHeight="1" x14ac:dyDescent="0.25">
      <c r="C178" s="3"/>
      <c r="D178" s="3"/>
      <c r="E178" s="3"/>
    </row>
    <row r="179" spans="3:5" ht="24.75" customHeight="1" x14ac:dyDescent="0.25">
      <c r="C179" s="3"/>
      <c r="D179" s="3"/>
      <c r="E179" s="3"/>
    </row>
    <row r="180" spans="3:5" ht="24.75" customHeight="1" x14ac:dyDescent="0.25">
      <c r="C180" s="3"/>
      <c r="D180" s="3"/>
      <c r="E180" s="3"/>
    </row>
    <row r="181" spans="3:5" ht="24.75" customHeight="1" x14ac:dyDescent="0.25">
      <c r="C181" s="3"/>
      <c r="D181" s="3"/>
      <c r="E181" s="3"/>
    </row>
    <row r="182" spans="3:5" ht="24.75" customHeight="1" x14ac:dyDescent="0.25">
      <c r="C182" s="3"/>
      <c r="D182" s="3"/>
      <c r="E182" s="3"/>
    </row>
    <row r="183" spans="3:5" ht="24.75" customHeight="1" x14ac:dyDescent="0.25">
      <c r="C183" s="3"/>
      <c r="D183" s="3"/>
      <c r="E183" s="3"/>
    </row>
    <row r="184" spans="3:5" ht="24.75" customHeight="1" x14ac:dyDescent="0.25">
      <c r="C184" s="3"/>
      <c r="D184" s="3"/>
      <c r="E184" s="3"/>
    </row>
    <row r="185" spans="3:5" ht="24.75" customHeight="1" x14ac:dyDescent="0.25">
      <c r="C185" s="3"/>
      <c r="D185" s="3"/>
      <c r="E185" s="3"/>
    </row>
    <row r="186" spans="3:5" ht="24.75" customHeight="1" x14ac:dyDescent="0.25">
      <c r="C186" s="3"/>
      <c r="D186" s="3"/>
      <c r="E186" s="3"/>
    </row>
    <row r="187" spans="3:5" ht="24.75" customHeight="1" x14ac:dyDescent="0.25">
      <c r="C187" s="3"/>
      <c r="D187" s="3"/>
      <c r="E187" s="3"/>
    </row>
    <row r="188" spans="3:5" ht="24.75" customHeight="1" x14ac:dyDescent="0.25">
      <c r="C188" s="3"/>
      <c r="D188" s="3"/>
      <c r="E188" s="3"/>
    </row>
    <row r="189" spans="3:5" ht="24.75" customHeight="1" x14ac:dyDescent="0.25">
      <c r="C189" s="3"/>
      <c r="D189" s="3"/>
      <c r="E189" s="3"/>
    </row>
    <row r="190" spans="3:5" ht="24.75" customHeight="1" x14ac:dyDescent="0.25">
      <c r="C190" s="3"/>
      <c r="D190" s="3"/>
      <c r="E190" s="3"/>
    </row>
    <row r="191" spans="3:5" ht="24.75" customHeight="1" x14ac:dyDescent="0.25">
      <c r="C191" s="3"/>
      <c r="D191" s="3"/>
      <c r="E191" s="3"/>
    </row>
    <row r="192" spans="3:5" ht="24.75" customHeight="1" x14ac:dyDescent="0.25">
      <c r="C192" s="3"/>
      <c r="D192" s="3"/>
      <c r="E192" s="3"/>
    </row>
    <row r="193" spans="3:5" ht="24.75" customHeight="1" x14ac:dyDescent="0.25">
      <c r="C193" s="3"/>
      <c r="D193" s="3"/>
      <c r="E193" s="3"/>
    </row>
    <row r="194" spans="3:5" ht="24.75" customHeight="1" x14ac:dyDescent="0.25">
      <c r="C194" s="3"/>
      <c r="D194" s="3"/>
      <c r="E194" s="3"/>
    </row>
    <row r="195" spans="3:5" ht="24.75" customHeight="1" x14ac:dyDescent="0.25">
      <c r="C195" s="3"/>
      <c r="D195" s="3"/>
      <c r="E195" s="3"/>
    </row>
    <row r="196" spans="3:5" ht="24.75" customHeight="1" x14ac:dyDescent="0.25">
      <c r="C196" s="3"/>
      <c r="D196" s="3"/>
      <c r="E196" s="3"/>
    </row>
    <row r="197" spans="3:5" ht="24.75" customHeight="1" x14ac:dyDescent="0.25">
      <c r="C197" s="3"/>
      <c r="D197" s="3"/>
      <c r="E197" s="3"/>
    </row>
    <row r="198" spans="3:5" ht="24.75" customHeight="1" x14ac:dyDescent="0.25">
      <c r="C198" s="3"/>
      <c r="D198" s="3"/>
      <c r="E198" s="3"/>
    </row>
    <row r="199" spans="3:5" ht="24.75" customHeight="1" x14ac:dyDescent="0.25">
      <c r="C199" s="3"/>
      <c r="D199" s="3"/>
      <c r="E199" s="3"/>
    </row>
    <row r="200" spans="3:5" ht="24.75" customHeight="1" x14ac:dyDescent="0.25">
      <c r="C200" s="3"/>
      <c r="D200" s="3"/>
      <c r="E200" s="3"/>
    </row>
    <row r="201" spans="3:5" ht="24.75" customHeight="1" x14ac:dyDescent="0.25">
      <c r="C201" s="3"/>
      <c r="D201" s="3"/>
      <c r="E201" s="3"/>
    </row>
    <row r="202" spans="3:5" ht="24.75" customHeight="1" x14ac:dyDescent="0.25">
      <c r="C202" s="3"/>
      <c r="D202" s="3"/>
      <c r="E202" s="3"/>
    </row>
    <row r="203" spans="3:5" ht="24.75" customHeight="1" x14ac:dyDescent="0.25">
      <c r="C203" s="3"/>
      <c r="D203" s="3"/>
      <c r="E203" s="3"/>
    </row>
    <row r="204" spans="3:5" ht="24.75" customHeight="1" x14ac:dyDescent="0.25">
      <c r="C204" s="3"/>
      <c r="D204" s="3"/>
      <c r="E204" s="3"/>
    </row>
    <row r="205" spans="3:5" ht="24.75" customHeight="1" x14ac:dyDescent="0.25">
      <c r="C205" s="3"/>
      <c r="D205" s="3"/>
      <c r="E205" s="3"/>
    </row>
    <row r="206" spans="3:5" ht="24.75" customHeight="1" x14ac:dyDescent="0.25">
      <c r="C206" s="3"/>
      <c r="D206" s="3"/>
      <c r="E206" s="3"/>
    </row>
    <row r="207" spans="3:5" ht="24.75" customHeight="1" x14ac:dyDescent="0.25">
      <c r="C207" s="3"/>
      <c r="D207" s="3"/>
      <c r="E207" s="3"/>
    </row>
    <row r="208" spans="3:5" ht="24.75" customHeight="1" x14ac:dyDescent="0.25">
      <c r="C208" s="3"/>
      <c r="D208" s="3"/>
      <c r="E208" s="3"/>
    </row>
    <row r="209" spans="3:5" ht="24.75" customHeight="1" x14ac:dyDescent="0.25">
      <c r="C209" s="3"/>
      <c r="D209" s="3"/>
      <c r="E209" s="3"/>
    </row>
    <row r="210" spans="3:5" ht="24.75" customHeight="1" x14ac:dyDescent="0.25">
      <c r="C210" s="3"/>
      <c r="D210" s="3"/>
      <c r="E210" s="3"/>
    </row>
    <row r="211" spans="3:5" ht="24.75" customHeight="1" x14ac:dyDescent="0.25">
      <c r="C211" s="3"/>
      <c r="D211" s="3"/>
      <c r="E211" s="3"/>
    </row>
    <row r="212" spans="3:5" ht="24.75" customHeight="1" x14ac:dyDescent="0.25">
      <c r="C212" s="3"/>
      <c r="D212" s="3"/>
      <c r="E212" s="3"/>
    </row>
  </sheetData>
  <mergeCells count="4">
    <mergeCell ref="B5:E5"/>
    <mergeCell ref="B6:E6"/>
    <mergeCell ref="B4:E4"/>
    <mergeCell ref="B3:E3"/>
  </mergeCells>
  <pageMargins left="1.3779527559055118" right="0.70866141732283472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J21"/>
  <sheetViews>
    <sheetView workbookViewId="0">
      <selection activeCell="D13" sqref="D13"/>
    </sheetView>
  </sheetViews>
  <sheetFormatPr baseColWidth="10" defaultRowHeight="24.75" customHeight="1" x14ac:dyDescent="0.25"/>
  <cols>
    <col min="1" max="1" width="7.42578125" style="1" customWidth="1"/>
    <col min="2" max="2" width="48.140625" style="1" customWidth="1"/>
    <col min="3" max="3" width="24.5703125" style="1" customWidth="1"/>
    <col min="4" max="4" width="11.42578125" style="1"/>
    <col min="5" max="5" width="17.42578125" style="1" bestFit="1" customWidth="1"/>
    <col min="6" max="16384" width="11.42578125" style="1"/>
  </cols>
  <sheetData>
    <row r="3" spans="1:10" ht="24.75" customHeight="1" x14ac:dyDescent="0.25">
      <c r="A3" s="57"/>
      <c r="B3" s="484" t="s">
        <v>176</v>
      </c>
      <c r="C3" s="484"/>
      <c r="D3" s="57"/>
      <c r="G3" s="53"/>
      <c r="H3" s="53"/>
      <c r="I3" s="53"/>
      <c r="J3" s="53"/>
    </row>
    <row r="4" spans="1:10" ht="24.75" customHeight="1" x14ac:dyDescent="0.25">
      <c r="A4" s="57"/>
      <c r="B4" s="484" t="s">
        <v>170</v>
      </c>
      <c r="C4" s="484"/>
      <c r="D4" s="57"/>
      <c r="G4" s="53"/>
      <c r="H4" s="53"/>
      <c r="I4" s="53"/>
      <c r="J4" s="53"/>
    </row>
    <row r="5" spans="1:10" ht="24.75" customHeight="1" x14ac:dyDescent="0.25">
      <c r="A5" s="57"/>
      <c r="B5" s="484" t="s">
        <v>180</v>
      </c>
      <c r="C5" s="484"/>
      <c r="D5" s="57"/>
      <c r="G5" s="53"/>
      <c r="H5" s="53"/>
      <c r="I5" s="53"/>
      <c r="J5" s="53"/>
    </row>
    <row r="6" spans="1:10" ht="24.75" customHeight="1" x14ac:dyDescent="0.25">
      <c r="A6" s="57"/>
      <c r="B6" s="496">
        <v>45504</v>
      </c>
      <c r="C6" s="496"/>
      <c r="D6" s="106"/>
      <c r="E6" s="106"/>
    </row>
    <row r="7" spans="1:10" ht="24.75" customHeight="1" thickBot="1" x14ac:dyDescent="0.3">
      <c r="A7" s="57"/>
      <c r="B7" s="73"/>
      <c r="C7" s="73"/>
      <c r="D7" s="57"/>
    </row>
    <row r="8" spans="1:10" ht="24.75" customHeight="1" thickBot="1" x14ac:dyDescent="0.3">
      <c r="A8" s="57"/>
      <c r="B8" s="76" t="s">
        <v>183</v>
      </c>
      <c r="C8" s="78" t="s">
        <v>156</v>
      </c>
      <c r="D8" s="57"/>
    </row>
    <row r="9" spans="1:10" ht="24.75" customHeight="1" x14ac:dyDescent="0.25">
      <c r="A9" s="57"/>
      <c r="B9" s="107" t="s">
        <v>263</v>
      </c>
      <c r="C9" s="108">
        <v>10067438.039999999</v>
      </c>
      <c r="D9" s="57"/>
    </row>
    <row r="10" spans="1:10" ht="24.75" customHeight="1" x14ac:dyDescent="0.25">
      <c r="A10" s="57"/>
      <c r="B10" s="109" t="s">
        <v>339</v>
      </c>
      <c r="C10" s="110">
        <f>+'NOTA 3-ANTIC COMP Y OTRAS'!E21</f>
        <v>15663680.539999999</v>
      </c>
      <c r="D10" s="57"/>
    </row>
    <row r="11" spans="1:10" ht="24.75" hidden="1" customHeight="1" x14ac:dyDescent="0.25">
      <c r="A11" s="57"/>
      <c r="B11" s="109" t="s">
        <v>449</v>
      </c>
      <c r="C11" s="110">
        <f>+'NOTA 3-Intereses'!C11</f>
        <v>0</v>
      </c>
      <c r="D11" s="57"/>
    </row>
    <row r="12" spans="1:10" ht="24.75" customHeight="1" x14ac:dyDescent="0.25">
      <c r="A12" s="57"/>
      <c r="B12" s="109" t="s">
        <v>281</v>
      </c>
      <c r="C12" s="110">
        <f>+'Nota 3 CxC Emplead'!I10</f>
        <v>23638.5</v>
      </c>
      <c r="D12" s="57"/>
    </row>
    <row r="13" spans="1:10" ht="24.75" customHeight="1" x14ac:dyDescent="0.4">
      <c r="A13" s="57"/>
      <c r="B13" s="109" t="s">
        <v>533</v>
      </c>
      <c r="C13" s="111">
        <f>+'NOTA 3-C X C'!C12</f>
        <v>272971.88</v>
      </c>
      <c r="D13" s="57"/>
    </row>
    <row r="14" spans="1:10" ht="24.75" customHeight="1" x14ac:dyDescent="0.4">
      <c r="A14" s="57"/>
      <c r="B14" s="112" t="s">
        <v>169</v>
      </c>
      <c r="C14" s="113">
        <f>SUM(C9:C13)</f>
        <v>26027728.959999997</v>
      </c>
      <c r="D14" s="57"/>
    </row>
    <row r="15" spans="1:10" ht="24.75" customHeight="1" thickBot="1" x14ac:dyDescent="0.3">
      <c r="A15" s="57"/>
      <c r="B15" s="114"/>
      <c r="C15" s="115"/>
      <c r="D15" s="57"/>
    </row>
    <row r="16" spans="1:10" ht="24.75" customHeight="1" x14ac:dyDescent="0.25">
      <c r="C16" s="20"/>
    </row>
    <row r="17" spans="3:3" ht="24.75" customHeight="1" x14ac:dyDescent="0.25">
      <c r="C17" s="20"/>
    </row>
    <row r="18" spans="3:3" ht="24.75" customHeight="1" x14ac:dyDescent="0.25">
      <c r="C18" s="20"/>
    </row>
    <row r="19" spans="3:3" ht="24.75" customHeight="1" x14ac:dyDescent="0.25">
      <c r="C19" s="20"/>
    </row>
    <row r="20" spans="3:3" ht="24.75" customHeight="1" x14ac:dyDescent="0.25">
      <c r="C20" s="20"/>
    </row>
    <row r="21" spans="3:3" ht="24.75" customHeight="1" x14ac:dyDescent="0.25">
      <c r="C21" s="20"/>
    </row>
  </sheetData>
  <mergeCells count="4">
    <mergeCell ref="B3:C3"/>
    <mergeCell ref="B4:C4"/>
    <mergeCell ref="B6:C6"/>
    <mergeCell ref="B5:C5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52"/>
  <sheetViews>
    <sheetView topLeftCell="A29" zoomScaleNormal="100" zoomScaleSheetLayoutView="80" workbookViewId="0">
      <selection activeCell="D13" sqref="D13"/>
    </sheetView>
  </sheetViews>
  <sheetFormatPr baseColWidth="10" defaultColWidth="9.140625" defaultRowHeight="15.75" x14ac:dyDescent="0.25"/>
  <cols>
    <col min="1" max="1" width="7.5703125" style="1" bestFit="1" customWidth="1"/>
    <col min="2" max="2" width="46.7109375" style="1" customWidth="1"/>
    <col min="3" max="3" width="68.85546875" style="1" customWidth="1"/>
    <col min="4" max="4" width="18.85546875" style="2" customWidth="1"/>
    <col min="5" max="5" width="18" style="2" bestFit="1" customWidth="1"/>
    <col min="6" max="6" width="20" style="2" customWidth="1"/>
    <col min="7" max="7" width="12.5703125" style="2" customWidth="1"/>
    <col min="8" max="8" width="21.140625" style="1" customWidth="1"/>
    <col min="9" max="9" width="16.85546875" style="1" bestFit="1" customWidth="1"/>
    <col min="10" max="10" width="9.85546875" style="1" bestFit="1" customWidth="1"/>
    <col min="11" max="16384" width="9.140625" style="1"/>
  </cols>
  <sheetData>
    <row r="1" spans="2:7" ht="18" customHeight="1" x14ac:dyDescent="0.25">
      <c r="B1" s="484"/>
      <c r="C1" s="484"/>
      <c r="D1" s="484"/>
      <c r="E1" s="484"/>
      <c r="F1" s="484"/>
    </row>
    <row r="2" spans="2:7" ht="24.75" customHeight="1" x14ac:dyDescent="0.25">
      <c r="B2" s="53"/>
      <c r="C2" s="53"/>
      <c r="D2" s="53"/>
      <c r="E2" s="53"/>
      <c r="F2" s="53"/>
    </row>
    <row r="3" spans="2:7" ht="24.75" customHeight="1" x14ac:dyDescent="0.25">
      <c r="B3" s="484" t="s">
        <v>176</v>
      </c>
      <c r="C3" s="484"/>
      <c r="D3" s="484"/>
      <c r="E3" s="484"/>
      <c r="F3" s="484"/>
    </row>
    <row r="4" spans="2:7" ht="24.75" customHeight="1" x14ac:dyDescent="0.25">
      <c r="B4" s="484" t="s">
        <v>170</v>
      </c>
      <c r="C4" s="484"/>
      <c r="D4" s="484"/>
      <c r="E4" s="484"/>
      <c r="F4" s="484"/>
    </row>
    <row r="5" spans="2:7" ht="24.75" customHeight="1" x14ac:dyDescent="0.25">
      <c r="B5" s="484" t="s">
        <v>177</v>
      </c>
      <c r="C5" s="484"/>
      <c r="D5" s="484"/>
      <c r="E5" s="484"/>
      <c r="F5" s="484"/>
    </row>
    <row r="6" spans="2:7" ht="24.75" customHeight="1" x14ac:dyDescent="0.25">
      <c r="B6" s="496">
        <v>45504</v>
      </c>
      <c r="C6" s="496"/>
      <c r="D6" s="496"/>
      <c r="E6" s="496"/>
      <c r="F6" s="496"/>
    </row>
    <row r="7" spans="2:7" ht="24.75" customHeight="1" thickBot="1" x14ac:dyDescent="0.3">
      <c r="D7" s="1"/>
      <c r="E7" s="1"/>
      <c r="F7" s="1"/>
    </row>
    <row r="8" spans="2:7" ht="24.75" customHeight="1" x14ac:dyDescent="0.25">
      <c r="B8" s="499" t="s">
        <v>183</v>
      </c>
      <c r="C8" s="500"/>
      <c r="D8" s="116" t="s">
        <v>43</v>
      </c>
      <c r="E8" s="503" t="s">
        <v>45</v>
      </c>
      <c r="F8" s="117" t="s">
        <v>43</v>
      </c>
      <c r="G8" s="1"/>
    </row>
    <row r="9" spans="2:7" ht="24.75" customHeight="1" thickBot="1" x14ac:dyDescent="0.3">
      <c r="B9" s="501"/>
      <c r="C9" s="502"/>
      <c r="D9" s="118" t="s">
        <v>44</v>
      </c>
      <c r="E9" s="504"/>
      <c r="F9" s="119" t="s">
        <v>147</v>
      </c>
      <c r="G9" s="1"/>
    </row>
    <row r="10" spans="2:7" ht="39.6" customHeight="1" x14ac:dyDescent="0.25">
      <c r="B10" s="497" t="s">
        <v>46</v>
      </c>
      <c r="C10" s="120" t="s">
        <v>13</v>
      </c>
      <c r="D10" s="121">
        <v>617492.96</v>
      </c>
      <c r="E10" s="121"/>
      <c r="F10" s="121">
        <f t="shared" ref="F10:F12" si="0">D10-E10</f>
        <v>617492.96</v>
      </c>
      <c r="G10" s="1"/>
    </row>
    <row r="11" spans="2:7" ht="39.6" customHeight="1" x14ac:dyDescent="0.25">
      <c r="B11" s="498"/>
      <c r="C11" s="122" t="s">
        <v>14</v>
      </c>
      <c r="D11" s="95">
        <v>4476.88</v>
      </c>
      <c r="E11" s="95"/>
      <c r="F11" s="95">
        <f t="shared" si="0"/>
        <v>4476.88</v>
      </c>
      <c r="G11" s="1"/>
    </row>
    <row r="12" spans="2:7" ht="39.6" customHeight="1" x14ac:dyDescent="0.25">
      <c r="B12" s="123" t="s">
        <v>15</v>
      </c>
      <c r="C12" s="122" t="s">
        <v>543</v>
      </c>
      <c r="D12" s="95">
        <v>743275.76</v>
      </c>
      <c r="E12" s="95"/>
      <c r="F12" s="95">
        <f t="shared" si="0"/>
        <v>743275.76</v>
      </c>
      <c r="G12" s="1"/>
    </row>
    <row r="13" spans="2:7" ht="39.6" customHeight="1" x14ac:dyDescent="0.25">
      <c r="B13" s="124" t="s">
        <v>16</v>
      </c>
      <c r="C13" s="122" t="s">
        <v>544</v>
      </c>
      <c r="D13" s="95">
        <v>27945.799999999988</v>
      </c>
      <c r="E13" s="95"/>
      <c r="F13" s="95">
        <f>D13-E13</f>
        <v>27945.799999999988</v>
      </c>
    </row>
    <row r="14" spans="2:7" ht="39.6" customHeight="1" x14ac:dyDescent="0.25">
      <c r="B14" s="123" t="s">
        <v>17</v>
      </c>
      <c r="C14" s="122" t="s">
        <v>545</v>
      </c>
      <c r="D14" s="95">
        <v>25017.630000000005</v>
      </c>
      <c r="E14" s="95"/>
      <c r="F14" s="95">
        <f>D14-E14</f>
        <v>25017.630000000005</v>
      </c>
    </row>
    <row r="15" spans="2:7" ht="39.6" customHeight="1" x14ac:dyDescent="0.25">
      <c r="B15" s="124" t="s">
        <v>18</v>
      </c>
      <c r="C15" s="122" t="s">
        <v>19</v>
      </c>
      <c r="D15" s="95">
        <v>601501.59</v>
      </c>
      <c r="E15" s="95"/>
      <c r="F15" s="95">
        <f>D15-E15</f>
        <v>601501.59</v>
      </c>
    </row>
    <row r="16" spans="2:7" ht="39.6" customHeight="1" x14ac:dyDescent="0.25">
      <c r="B16" s="123" t="s">
        <v>20</v>
      </c>
      <c r="C16" s="122" t="s">
        <v>21</v>
      </c>
      <c r="D16" s="95">
        <v>608783.95000000007</v>
      </c>
      <c r="E16" s="95"/>
      <c r="F16" s="95">
        <f>D16-E16</f>
        <v>608783.95000000007</v>
      </c>
    </row>
    <row r="17" spans="2:9" ht="39.6" customHeight="1" x14ac:dyDescent="0.25">
      <c r="B17" s="123" t="s">
        <v>22</v>
      </c>
      <c r="C17" s="122" t="s">
        <v>23</v>
      </c>
      <c r="D17" s="95">
        <v>814702.41</v>
      </c>
      <c r="E17" s="95">
        <f>60932.32+89366.58+114703.52+206038.52</f>
        <v>471040.93999999994</v>
      </c>
      <c r="F17" s="95">
        <f t="shared" ref="F17:F29" si="1">D17-E17</f>
        <v>343661.47000000009</v>
      </c>
      <c r="I17" s="33"/>
    </row>
    <row r="18" spans="2:9" ht="39.6" customHeight="1" x14ac:dyDescent="0.25">
      <c r="B18" s="123" t="s">
        <v>24</v>
      </c>
      <c r="C18" s="122" t="s">
        <v>25</v>
      </c>
      <c r="D18" s="95">
        <v>104068.5</v>
      </c>
      <c r="E18" s="95">
        <v>91558.02</v>
      </c>
      <c r="F18" s="95">
        <f t="shared" si="1"/>
        <v>12510.479999999996</v>
      </c>
    </row>
    <row r="19" spans="2:9" ht="39.6" customHeight="1" x14ac:dyDescent="0.25">
      <c r="B19" s="124" t="s">
        <v>26</v>
      </c>
      <c r="C19" s="122" t="s">
        <v>311</v>
      </c>
      <c r="D19" s="95">
        <v>5506.4100000000108</v>
      </c>
      <c r="E19" s="95"/>
      <c r="F19" s="95">
        <f t="shared" si="1"/>
        <v>5506.4100000000108</v>
      </c>
    </row>
    <row r="20" spans="2:9" ht="39.6" customHeight="1" x14ac:dyDescent="0.25">
      <c r="B20" s="123" t="s">
        <v>27</v>
      </c>
      <c r="C20" s="122" t="s">
        <v>28</v>
      </c>
      <c r="D20" s="95">
        <v>499058.10999999993</v>
      </c>
      <c r="E20" s="95"/>
      <c r="F20" s="95">
        <f t="shared" si="1"/>
        <v>499058.10999999993</v>
      </c>
    </row>
    <row r="21" spans="2:9" ht="39.6" customHeight="1" x14ac:dyDescent="0.25">
      <c r="B21" s="123" t="s">
        <v>29</v>
      </c>
      <c r="C21" s="122" t="s">
        <v>30</v>
      </c>
      <c r="D21" s="95">
        <v>639569.22</v>
      </c>
      <c r="E21" s="95">
        <v>46161.86</v>
      </c>
      <c r="F21" s="95">
        <f t="shared" si="1"/>
        <v>593407.36</v>
      </c>
      <c r="I21" s="125"/>
    </row>
    <row r="22" spans="2:9" ht="39.6" customHeight="1" x14ac:dyDescent="0.25">
      <c r="B22" s="123" t="s">
        <v>31</v>
      </c>
      <c r="C22" s="122" t="s">
        <v>32</v>
      </c>
      <c r="D22" s="95">
        <v>851941.5199999999</v>
      </c>
      <c r="E22" s="95">
        <f>67011.97+323371.84+273564.81</f>
        <v>663948.62000000011</v>
      </c>
      <c r="F22" s="95">
        <f t="shared" si="1"/>
        <v>187992.89999999979</v>
      </c>
      <c r="H22" s="20"/>
    </row>
    <row r="23" spans="2:9" ht="39.6" customHeight="1" x14ac:dyDescent="0.25">
      <c r="B23" s="123" t="s">
        <v>33</v>
      </c>
      <c r="C23" s="122" t="s">
        <v>34</v>
      </c>
      <c r="D23" s="95">
        <v>537913.55000000005</v>
      </c>
      <c r="E23" s="95">
        <f>120419.27+411350.52</f>
        <v>531769.79</v>
      </c>
      <c r="F23" s="95">
        <f t="shared" si="1"/>
        <v>6143.7600000000093</v>
      </c>
      <c r="H23" s="20"/>
    </row>
    <row r="24" spans="2:9" ht="45.75" customHeight="1" x14ac:dyDescent="0.25">
      <c r="B24" s="123" t="s">
        <v>35</v>
      </c>
      <c r="C24" s="122" t="s">
        <v>36</v>
      </c>
      <c r="D24" s="95">
        <v>811013.05000000016</v>
      </c>
      <c r="E24" s="95">
        <f>46165.68+60453.88+61520.11+146866.88</f>
        <v>315006.55</v>
      </c>
      <c r="F24" s="95">
        <f t="shared" si="1"/>
        <v>496006.50000000017</v>
      </c>
      <c r="H24" s="20"/>
    </row>
    <row r="25" spans="2:9" ht="31.5" x14ac:dyDescent="0.25">
      <c r="B25" s="123" t="s">
        <v>37</v>
      </c>
      <c r="C25" s="122" t="s">
        <v>38</v>
      </c>
      <c r="D25" s="95">
        <v>1762344.18</v>
      </c>
      <c r="E25" s="95">
        <f>235574.08+226712.69+213416.11+229506.01+236973.83</f>
        <v>1142182.72</v>
      </c>
      <c r="F25" s="95">
        <f t="shared" si="1"/>
        <v>620161.46</v>
      </c>
      <c r="H25" s="20"/>
    </row>
    <row r="26" spans="2:9" ht="39.6" customHeight="1" x14ac:dyDescent="0.25">
      <c r="B26" s="123" t="s">
        <v>39</v>
      </c>
      <c r="C26" s="122" t="s">
        <v>40</v>
      </c>
      <c r="D26" s="95">
        <v>942080.79</v>
      </c>
      <c r="E26" s="95">
        <f>60579.28+105283.76</f>
        <v>165863.03999999998</v>
      </c>
      <c r="F26" s="95">
        <f t="shared" si="1"/>
        <v>776217.75</v>
      </c>
      <c r="H26" s="20"/>
    </row>
    <row r="27" spans="2:9" ht="39.6" customHeight="1" x14ac:dyDescent="0.25">
      <c r="B27" s="124" t="s">
        <v>26</v>
      </c>
      <c r="C27" s="122" t="s">
        <v>41</v>
      </c>
      <c r="D27" s="95">
        <v>2257548</v>
      </c>
      <c r="E27" s="95">
        <f>301624.06+330236.89+273097.18+150481.58+238893.34+241462.29+302629.52</f>
        <v>1838424.86</v>
      </c>
      <c r="F27" s="95">
        <f t="shared" si="1"/>
        <v>419123.1399999999</v>
      </c>
      <c r="H27" s="20"/>
    </row>
    <row r="28" spans="2:9" ht="39.6" customHeight="1" x14ac:dyDescent="0.25">
      <c r="B28" s="123" t="s">
        <v>26</v>
      </c>
      <c r="C28" s="122" t="s">
        <v>42</v>
      </c>
      <c r="D28" s="95">
        <v>1640362.07</v>
      </c>
      <c r="E28" s="95">
        <f>564682.61+149772.01+168279.13+347104.04+3000</f>
        <v>1232837.79</v>
      </c>
      <c r="F28" s="95">
        <f t="shared" si="1"/>
        <v>407524.28</v>
      </c>
      <c r="H28" s="20"/>
    </row>
    <row r="29" spans="2:9" ht="49.5" customHeight="1" x14ac:dyDescent="0.25">
      <c r="B29" s="123" t="s">
        <v>247</v>
      </c>
      <c r="C29" s="122" t="s">
        <v>248</v>
      </c>
      <c r="D29" s="95">
        <v>485158.58</v>
      </c>
      <c r="E29" s="95"/>
      <c r="F29" s="95">
        <f t="shared" si="1"/>
        <v>485158.58</v>
      </c>
      <c r="H29" s="20"/>
    </row>
    <row r="30" spans="2:9" ht="39.6" customHeight="1" x14ac:dyDescent="0.25">
      <c r="B30" s="124" t="s">
        <v>443</v>
      </c>
      <c r="C30" s="126" t="s">
        <v>444</v>
      </c>
      <c r="D30" s="95">
        <v>1718395.94</v>
      </c>
      <c r="E30" s="95">
        <f>640523.72+514814.38</f>
        <v>1155338.1000000001</v>
      </c>
      <c r="F30" s="95">
        <f t="shared" ref="F30:F34" si="2">D30-E30</f>
        <v>563057.83999999985</v>
      </c>
      <c r="H30" s="20"/>
    </row>
    <row r="31" spans="2:9" ht="39.6" customHeight="1" x14ac:dyDescent="0.25">
      <c r="B31" s="124" t="s">
        <v>420</v>
      </c>
      <c r="C31" s="126" t="s">
        <v>474</v>
      </c>
      <c r="D31" s="95">
        <v>1168921.01</v>
      </c>
      <c r="E31" s="95">
        <v>369830.56</v>
      </c>
      <c r="F31" s="95">
        <f t="shared" si="2"/>
        <v>799090.45</v>
      </c>
      <c r="H31" s="20"/>
    </row>
    <row r="32" spans="2:9" ht="39.6" customHeight="1" x14ac:dyDescent="0.25">
      <c r="B32" s="124" t="s">
        <v>475</v>
      </c>
      <c r="C32" s="126" t="s">
        <v>476</v>
      </c>
      <c r="D32" s="95">
        <v>939063.12</v>
      </c>
      <c r="E32" s="95">
        <f>306503.37+472144.9</f>
        <v>778648.27</v>
      </c>
      <c r="F32" s="95">
        <f t="shared" si="2"/>
        <v>160414.84999999998</v>
      </c>
      <c r="H32" s="20"/>
    </row>
    <row r="33" spans="2:8" ht="39.6" customHeight="1" x14ac:dyDescent="0.25">
      <c r="B33" s="124" t="s">
        <v>477</v>
      </c>
      <c r="C33" s="126" t="s">
        <v>478</v>
      </c>
      <c r="D33" s="95">
        <v>1252298.3899999999</v>
      </c>
      <c r="E33" s="95">
        <f>292101.94+357646.09+328346.97</f>
        <v>978095</v>
      </c>
      <c r="F33" s="95">
        <f t="shared" si="2"/>
        <v>274203.3899999999</v>
      </c>
      <c r="H33" s="20"/>
    </row>
    <row r="34" spans="2:8" ht="53.25" customHeight="1" x14ac:dyDescent="0.4">
      <c r="B34" s="124" t="s">
        <v>585</v>
      </c>
      <c r="C34" s="126" t="s">
        <v>586</v>
      </c>
      <c r="D34" s="130">
        <v>1736309.42</v>
      </c>
      <c r="E34" s="130">
        <v>946604.68</v>
      </c>
      <c r="F34" s="130">
        <f t="shared" si="2"/>
        <v>789704.73999999987</v>
      </c>
      <c r="H34" s="20"/>
    </row>
    <row r="35" spans="2:8" ht="29.25" customHeight="1" x14ac:dyDescent="0.4">
      <c r="B35" s="127"/>
      <c r="C35" s="139" t="s">
        <v>126</v>
      </c>
      <c r="D35" s="96">
        <f>SUM(D10:D34)</f>
        <v>20794748.840000004</v>
      </c>
      <c r="E35" s="96">
        <f>SUM(E10:E34)</f>
        <v>10727310.800000001</v>
      </c>
      <c r="F35" s="96">
        <f>SUM(F10:F34)</f>
        <v>10067438.039999999</v>
      </c>
      <c r="H35" s="20"/>
    </row>
    <row r="36" spans="2:8" ht="6" customHeight="1" x14ac:dyDescent="0.25">
      <c r="B36" s="127"/>
      <c r="C36" s="127"/>
      <c r="D36" s="95"/>
      <c r="E36" s="95"/>
      <c r="F36" s="95"/>
      <c r="H36" s="20"/>
    </row>
    <row r="37" spans="2:8" x14ac:dyDescent="0.25">
      <c r="F37" s="2">
        <v>10397838.039999999</v>
      </c>
      <c r="H37" s="20"/>
    </row>
    <row r="38" spans="2:8" x14ac:dyDescent="0.25">
      <c r="F38" s="2">
        <f>+F35-F37</f>
        <v>-330400</v>
      </c>
      <c r="H38" s="20"/>
    </row>
    <row r="39" spans="2:8" x14ac:dyDescent="0.25">
      <c r="C39" s="128" t="s">
        <v>214</v>
      </c>
      <c r="F39" s="129">
        <f>+F35-H35</f>
        <v>10067438.039999999</v>
      </c>
      <c r="H39" s="20"/>
    </row>
    <row r="40" spans="2:8" x14ac:dyDescent="0.25">
      <c r="F40" s="56"/>
    </row>
    <row r="41" spans="2:8" x14ac:dyDescent="0.25">
      <c r="E41" s="31"/>
    </row>
    <row r="52" spans="6:6" x14ac:dyDescent="0.25">
      <c r="F52" s="2">
        <v>0</v>
      </c>
    </row>
  </sheetData>
  <mergeCells count="8">
    <mergeCell ref="B5:F5"/>
    <mergeCell ref="B10:B11"/>
    <mergeCell ref="B1:F1"/>
    <mergeCell ref="B3:F3"/>
    <mergeCell ref="B8:C9"/>
    <mergeCell ref="B4:F4"/>
    <mergeCell ref="B6:F6"/>
    <mergeCell ref="E8:E9"/>
  </mergeCells>
  <phoneticPr fontId="32" type="noConversion"/>
  <pageMargins left="0.35433070866141736" right="0.74803149606299213" top="0.98425196850393704" bottom="0.98425196850393704" header="0" footer="0"/>
  <pageSetup paperSize="9" scale="51" fitToHeight="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34e139-98e4-4c0e-a873-2c35232cb746">
      <Terms xmlns="http://schemas.microsoft.com/office/infopath/2007/PartnerControls"/>
    </lcf76f155ced4ddcb4097134ff3c332f>
    <TaxCatchAll xmlns="829fe298-b51a-4ddb-9231-b6d9f99174b5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6" ma:contentTypeDescription="Create a new document." ma:contentTypeScope="" ma:versionID="0cdf09f1943ad43c0e25cae96e27e640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3168ee5d106abb05725fbbabe84b1df2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61e3d88-04e1-43ed-88d6-65224a3bdf07}" ma:internalName="TaxCatchAll" ma:showField="CatchAllData" ma:web="829fe298-b51a-4ddb-9231-b6d9f99174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187603-E1DF-40ED-A8CE-010332182A79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829fe298-b51a-4ddb-9231-b6d9f99174b5"/>
    <ds:schemaRef ds:uri="http://schemas.openxmlformats.org/package/2006/metadata/core-properties"/>
    <ds:schemaRef ds:uri="5234e139-98e4-4c0e-a873-2c35232cb74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18AFEAD-B07C-4143-B1DB-C84A104FD8A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29C60E9-23AB-43E9-A4AB-19167BA2FCA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8ABF65D-6CAC-4B76-98CC-F9D557A5BC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24</vt:i4>
      </vt:variant>
    </vt:vector>
  </HeadingPairs>
  <TitlesOfParts>
    <vt:vector size="56" baseType="lpstr">
      <vt:lpstr>Estado Situación</vt:lpstr>
      <vt:lpstr>Estado de Resultados</vt:lpstr>
      <vt:lpstr>A-SITUACION ANEXOS</vt:lpstr>
      <vt:lpstr>A-RESULTADOS ANEXOS</vt:lpstr>
      <vt:lpstr>NOTA 14-CAPITAL</vt:lpstr>
      <vt:lpstr>Cédula Nota 1</vt:lpstr>
      <vt:lpstr>Cédula Nota 2 </vt:lpstr>
      <vt:lpstr>Nota 3 Resumen</vt:lpstr>
      <vt:lpstr>NOTA 3-C-CONST </vt:lpstr>
      <vt:lpstr>NOTA 3-ANTIC COMP Y OTRAS</vt:lpstr>
      <vt:lpstr>NOTA 3-Intereses</vt:lpstr>
      <vt:lpstr>Nota 3 CxC Emplead</vt:lpstr>
      <vt:lpstr>NOTA 3-C X C</vt:lpstr>
      <vt:lpstr>NOTA 4  INVENTARIO</vt:lpstr>
      <vt:lpstr>NOTA 5  GPA</vt:lpstr>
      <vt:lpstr>NOTA 5-SEG PAG X ANT</vt:lpstr>
      <vt:lpstr>NOTA 5 - LIC MS 365 AMORTIZ</vt:lpstr>
      <vt:lpstr>NOTA 5 LICENCIAS JIRA</vt:lpstr>
      <vt:lpstr>NOTA 5 Licencias Adobe</vt:lpstr>
      <vt:lpstr>NOTA 6-DIVIDENDOS</vt:lpstr>
      <vt:lpstr>NOTA 7-AVANCES A FUTURAS CAPIT</vt:lpstr>
      <vt:lpstr>Tabacalera</vt:lpstr>
      <vt:lpstr>NOTA 8-PROPIEDAD, PLANTA Y EQUI</vt:lpstr>
      <vt:lpstr>NOTA 9-CEDULAS CxP PROVEEDORES </vt:lpstr>
      <vt:lpstr>NOTA 10-CEDULAS CxP CONTRATISTA</vt:lpstr>
      <vt:lpstr>NOTA 11-GASTOS PERSONAL X PAGAR</vt:lpstr>
      <vt:lpstr>NOTA 11-BONIFICACION</vt:lpstr>
      <vt:lpstr>NOTA 11-VACACIONES</vt:lpstr>
      <vt:lpstr>NOTA 11-REGALIA</vt:lpstr>
      <vt:lpstr>NOTA 12-RETENCIONES X PAGAR</vt:lpstr>
      <vt:lpstr>NOTA 13-OTRAS CXP</vt:lpstr>
      <vt:lpstr>Hoja5</vt:lpstr>
      <vt:lpstr>'A-RESULTADOS ANEXOS'!Área_de_impresión</vt:lpstr>
      <vt:lpstr>'A-SITUACION ANEXOS'!Área_de_impresión</vt:lpstr>
      <vt:lpstr>'Cédula Nota 1'!Área_de_impresión</vt:lpstr>
      <vt:lpstr>'Cédula Nota 2 '!Área_de_impresión</vt:lpstr>
      <vt:lpstr>'Estado de Resultados'!Área_de_impresión</vt:lpstr>
      <vt:lpstr>'Estado Situación'!Área_de_impresión</vt:lpstr>
      <vt:lpstr>'NOTA 10-CEDULAS CxP CONTRATISTA'!Área_de_impresión</vt:lpstr>
      <vt:lpstr>'NOTA 11-GASTOS PERSONAL X PAGAR'!Área_de_impresión</vt:lpstr>
      <vt:lpstr>'NOTA 12-RETENCIONES X PAGAR'!Área_de_impresión</vt:lpstr>
      <vt:lpstr>'NOTA 13-OTRAS CXP'!Área_de_impresión</vt:lpstr>
      <vt:lpstr>'NOTA 14-CAPITAL'!Área_de_impresión</vt:lpstr>
      <vt:lpstr>'NOTA 3-ANTIC COMP Y OTRAS'!Área_de_impresión</vt:lpstr>
      <vt:lpstr>'NOTA 3-C X C'!Área_de_impresión</vt:lpstr>
      <vt:lpstr>'NOTA 3-C-CONST '!Área_de_impresión</vt:lpstr>
      <vt:lpstr>'NOTA 4  INVENTARIO'!Área_de_impresión</vt:lpstr>
      <vt:lpstr>'NOTA 5  GPA'!Área_de_impresión</vt:lpstr>
      <vt:lpstr>'NOTA 5 - LIC MS 365 AMORTIZ'!Área_de_impresión</vt:lpstr>
      <vt:lpstr>'NOTA 7-AVANCES A FUTURAS CAPIT'!Área_de_impresión</vt:lpstr>
      <vt:lpstr>'NOTA 8-PROPIEDAD, PLANTA Y EQUI'!Área_de_impresión</vt:lpstr>
      <vt:lpstr>'NOTA 9-CEDULAS CxP PROVEEDORES '!Área_de_impresión</vt:lpstr>
      <vt:lpstr>'A-RESULTADOS ANEXOS'!Títulos_a_imprimir</vt:lpstr>
      <vt:lpstr>'A-SITUACION ANEXOS'!Títulos_a_imprimir</vt:lpstr>
      <vt:lpstr>'NOTA 11-VACACIONES'!Títulos_a_imprimir</vt:lpstr>
      <vt:lpstr>'NOTA 3-C-CONST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Ulises Rosa</dc:creator>
  <cp:lastModifiedBy>Victor Hilario</cp:lastModifiedBy>
  <cp:lastPrinted>2024-08-20T17:01:46Z</cp:lastPrinted>
  <dcterms:created xsi:type="dcterms:W3CDTF">2008-09-03T15:34:54Z</dcterms:created>
  <dcterms:modified xsi:type="dcterms:W3CDTF">2024-08-22T19:15:50Z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Katty Suero</vt:lpwstr>
  </property>
  <property fmtid="{D5CDD505-2E9C-101B-9397-08002B2CF9AE}" pid="3" name="Order">
    <vt:lpwstr>1188400.00000000</vt:lpwstr>
  </property>
  <property fmtid="{D5CDD505-2E9C-101B-9397-08002B2CF9AE}" pid="4" name="display_urn:schemas-microsoft-com:office:office#Author">
    <vt:lpwstr>Katty Suero</vt:lpwstr>
  </property>
  <property fmtid="{D5CDD505-2E9C-101B-9397-08002B2CF9AE}" pid="5" name="ContentTypeId">
    <vt:lpwstr>0x0101004FD84E918004A044BCE378A5E7129897</vt:lpwstr>
  </property>
  <property fmtid="{D5CDD505-2E9C-101B-9397-08002B2CF9AE}" pid="6" name="MediaServiceImageTags">
    <vt:lpwstr/>
  </property>
</Properties>
</file>