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fonpercloud-my.sharepoint.com/personal/dmarin_fonper_gov_do/Documents/Escritorio/"/>
    </mc:Choice>
  </mc:AlternateContent>
  <xr:revisionPtr revIDLastSave="0" documentId="8_{E161AC70-3C3B-45D8-B403-55B213129E57}" xr6:coauthVersionLast="47" xr6:coauthVersionMax="47" xr10:uidLastSave="{00000000-0000-0000-0000-000000000000}"/>
  <bookViews>
    <workbookView xWindow="-108" yWindow="-108" windowWidth="23256" windowHeight="12576" tabRatio="840" xr2:uid="{00000000-000D-0000-FFFF-FFFF00000000}"/>
  </bookViews>
  <sheets>
    <sheet name="Estado Situación" sheetId="2" r:id="rId1"/>
    <sheet name="Estado de Resultados" sheetId="1" r:id="rId2"/>
    <sheet name="A-SITUACION ANEXOS" sheetId="19" r:id="rId3"/>
    <sheet name="A-RESULTADOS ANEXOS" sheetId="34" r:id="rId4"/>
    <sheet name="NOTA 14-CAPITAL" sheetId="16" r:id="rId5"/>
    <sheet name="Cédula Nota 1" sheetId="31" state="hidden" r:id="rId6"/>
    <sheet name="Cédula Nota 2 " sheetId="26" state="hidden" r:id="rId7"/>
    <sheet name="Nota 3 Resumen" sheetId="40" state="hidden" r:id="rId8"/>
    <sheet name="NOTA 3-C-CONST " sheetId="7" state="hidden" r:id="rId9"/>
    <sheet name="NOTA 3-ANTIC COMP Y OTRAS" sheetId="13" state="hidden" r:id="rId10"/>
    <sheet name="NOTA 3-Intereses" sheetId="45" state="hidden" r:id="rId11"/>
    <sheet name="Nota 3 CxC Emplead" sheetId="41" state="hidden" r:id="rId12"/>
    <sheet name="NOTA 3-C X C" sheetId="22" state="hidden" r:id="rId13"/>
    <sheet name="NOTA 4  INVENTARIO" sheetId="37" state="hidden" r:id="rId14"/>
    <sheet name="NOTA 5  GPA" sheetId="39" state="hidden" r:id="rId15"/>
    <sheet name="NOTA 5-SEG PAG X ANT" sheetId="23" state="hidden" r:id="rId16"/>
    <sheet name="NOTA 5 - LIC MS 365 AMORTIZ" sheetId="38" state="hidden" r:id="rId17"/>
    <sheet name="NOTA 5 LICENCIAS JIRA" sheetId="46" state="hidden" r:id="rId18"/>
    <sheet name="NOTA 5 LIC ANTIDESASTRES" sheetId="54" state="hidden" r:id="rId19"/>
    <sheet name="NOTA 5 Licencias Adobe" sheetId="47" state="hidden" r:id="rId20"/>
    <sheet name="NOTA 6-DIVIDENDOS" sheetId="32" state="hidden" r:id="rId21"/>
    <sheet name="NOTA 7-AVANCES A FUTURAS CAPIT" sheetId="51" state="hidden" r:id="rId22"/>
    <sheet name="Tabacalera" sheetId="53" state="hidden" r:id="rId23"/>
    <sheet name="NOTA 8-MOBILIARIO Y EQUIPOS, NE" sheetId="29" state="hidden" r:id="rId24"/>
    <sheet name="NOTA 9-CEDULAS CxP PROVEEDORES " sheetId="25" state="hidden" r:id="rId25"/>
    <sheet name="NOTA 10-CEDULAS CxP CONTRATISTA" sheetId="52" state="hidden" r:id="rId26"/>
    <sheet name="NOTA 11-GASTOS PERSONAL X PAGAR" sheetId="35" state="hidden" r:id="rId27"/>
    <sheet name="NOTA 11-BONIFICACION" sheetId="42" state="hidden" r:id="rId28"/>
    <sheet name="NOTA 11-VACACIONES" sheetId="44" state="hidden" r:id="rId29"/>
    <sheet name="NOTA 11-REGALIA" sheetId="36" state="hidden" r:id="rId30"/>
    <sheet name="NOTA 12-RETENCIONES X PAGAR" sheetId="50" state="hidden" r:id="rId31"/>
    <sheet name="NOTA 13-OTRAS CXP" sheetId="30" state="hidden" r:id="rId32"/>
    <sheet name="Hoja5" sheetId="20" state="hidden" r:id="rId33"/>
  </sheets>
  <externalReferences>
    <externalReference r:id="rId34"/>
  </externalReferences>
  <definedNames>
    <definedName name="_xlnm.Print_Area" localSheetId="3">'A-RESULTADOS ANEXOS'!$A$1:$F$140</definedName>
    <definedName name="_xlnm.Print_Area" localSheetId="2">'A-SITUACION ANEXOS'!$A$1:$F$161</definedName>
    <definedName name="_xlnm.Print_Area" localSheetId="5">'Cédula Nota 1'!$A$1:$E$16</definedName>
    <definedName name="_xlnm.Print_Area" localSheetId="6">'Cédula Nota 2 '!$A$1:$E$22</definedName>
    <definedName name="_xlnm.Print_Area" localSheetId="1">'Estado de Resultados'!$A$1:$E$54</definedName>
    <definedName name="_xlnm.Print_Area" localSheetId="25">'NOTA 10-CEDULAS CxP CONTRATISTA'!$A$1:$C$44</definedName>
    <definedName name="_xlnm.Print_Area" localSheetId="27">'NOTA 11-BONIFICACION'!#REF!</definedName>
    <definedName name="_xlnm.Print_Area" localSheetId="26">'NOTA 11-GASTOS PERSONAL X PAGAR'!$A$1:$B$60</definedName>
    <definedName name="_xlnm.Print_Area" localSheetId="28">'NOTA 11-VACACIONES'!$A$1:$W$94</definedName>
    <definedName name="_xlnm.Print_Area" localSheetId="30">'NOTA 12-RETENCIONES X PAGAR'!$A$1:$B$47</definedName>
    <definedName name="_xlnm.Print_Area" localSheetId="31">'NOTA 13-OTRAS CXP'!$A$1:$B$16</definedName>
    <definedName name="_xlnm.Print_Area" localSheetId="4">'NOTA 14-CAPITAL'!$A$1:$H$27</definedName>
    <definedName name="_xlnm.Print_Area" localSheetId="9">'NOTA 3-ANTIC COMP Y OTRAS'!$B$1:$F$22</definedName>
    <definedName name="_xlnm.Print_Area" localSheetId="12">'NOTA 3-C X C'!$B$1:$C$17</definedName>
    <definedName name="_xlnm.Print_Area" localSheetId="8">'NOTA 3-C-CONST '!$A$1:$F$38</definedName>
    <definedName name="_xlnm.Print_Area" localSheetId="13">'NOTA 4  INVENTARIO'!$A$1:$C$39</definedName>
    <definedName name="_xlnm.Print_Area" localSheetId="14">'NOTA 5  GPA'!$A$1:$D$22</definedName>
    <definedName name="_xlnm.Print_Area" localSheetId="16">'NOTA 5 - LIC MS 365 AMORTIZ'!$A$1:$F$44</definedName>
    <definedName name="_xlnm.Print_Area" localSheetId="21">'NOTA 7-AVANCES A FUTURAS CAPIT'!$A$1:$D$43</definedName>
    <definedName name="_xlnm.Print_Area" localSheetId="23">'NOTA 8-MOBILIARIO Y EQUIPOS, NE'!$A$1:$J$31</definedName>
    <definedName name="_xlnm.Print_Area" localSheetId="24">'NOTA 9-CEDULAS CxP PROVEEDORES '!$A$1:$C$107</definedName>
    <definedName name="_xlnm.Print_Titles" localSheetId="3">'A-RESULTADOS ANEXOS'!$1:$8</definedName>
    <definedName name="_xlnm.Print_Titles" localSheetId="2">'A-SITUACION ANEXOS'!$1:$9</definedName>
    <definedName name="_xlnm.Print_Titles" localSheetId="28">'NOTA 11-VACACIONES'!$1:$99</definedName>
    <definedName name="_xlnm.Print_Titles" localSheetId="8">'NOTA 3-C-CONST '!$1:$9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94" i="44" l="1"/>
  <c r="F65" i="34"/>
  <c r="D74" i="19"/>
  <c r="D68" i="19"/>
  <c r="D62" i="19"/>
  <c r="D14" i="31" l="1"/>
  <c r="C24" i="37" l="1"/>
  <c r="D16" i="39"/>
  <c r="E13" i="26"/>
  <c r="E21" i="13"/>
  <c r="F33" i="54"/>
  <c r="F34" i="54" s="1"/>
  <c r="F37" i="38"/>
  <c r="F38" i="38" s="1"/>
  <c r="B10" i="36"/>
  <c r="D98" i="19"/>
  <c r="D100" i="19"/>
  <c r="D99" i="19"/>
  <c r="D18" i="19"/>
  <c r="D17" i="19"/>
  <c r="D16" i="19"/>
  <c r="D15" i="19"/>
  <c r="D14" i="19"/>
  <c r="F22" i="54"/>
  <c r="A54" i="50"/>
  <c r="A39" i="50"/>
  <c r="A26" i="50"/>
  <c r="C44" i="2"/>
  <c r="C32" i="1"/>
  <c r="C31" i="1"/>
  <c r="C30" i="1"/>
  <c r="D32" i="1"/>
  <c r="D31" i="1"/>
  <c r="D30" i="1"/>
  <c r="E51" i="34"/>
  <c r="D21" i="1" s="1"/>
  <c r="D44" i="2"/>
  <c r="F124" i="19"/>
  <c r="E37" i="19"/>
  <c r="D18" i="2" s="1"/>
  <c r="B45" i="50" l="1"/>
  <c r="B32" i="50"/>
  <c r="C15" i="25"/>
  <c r="E31" i="7"/>
  <c r="F30" i="54" l="1"/>
  <c r="E28" i="7" l="1"/>
  <c r="E17" i="7"/>
  <c r="E34" i="7"/>
  <c r="F34" i="7" s="1"/>
  <c r="H34" i="7" s="1"/>
  <c r="H35" i="7"/>
  <c r="H36" i="7"/>
  <c r="H10" i="7"/>
  <c r="H11" i="7"/>
  <c r="H12" i="7"/>
  <c r="H14" i="7"/>
  <c r="H15" i="7"/>
  <c r="H16" i="7"/>
  <c r="H18" i="7"/>
  <c r="H19" i="7"/>
  <c r="H20" i="7"/>
  <c r="H21" i="7"/>
  <c r="H22" i="7"/>
  <c r="H23" i="7"/>
  <c r="H24" i="7"/>
  <c r="H25" i="7"/>
  <c r="H26" i="7"/>
  <c r="H27" i="7"/>
  <c r="H29" i="7"/>
  <c r="H30" i="7"/>
  <c r="H32" i="7"/>
  <c r="H33" i="7"/>
  <c r="G37" i="7"/>
  <c r="F35" i="7"/>
  <c r="C17" i="29"/>
  <c r="F36" i="38"/>
  <c r="F41" i="38"/>
  <c r="F37" i="34" l="1"/>
  <c r="F38" i="34"/>
  <c r="B12" i="30" l="1"/>
  <c r="F122" i="34"/>
  <c r="F123" i="34"/>
  <c r="E24" i="53" l="1"/>
  <c r="H33" i="51"/>
  <c r="H49" i="51"/>
  <c r="E33" i="7"/>
  <c r="F42" i="47" l="1"/>
  <c r="F49" i="23"/>
  <c r="F41" i="47"/>
  <c r="D33" i="1"/>
  <c r="E51" i="19"/>
  <c r="D20" i="2" s="1"/>
  <c r="D70" i="19" l="1"/>
  <c r="D64" i="19" l="1"/>
  <c r="F120" i="34"/>
  <c r="D140" i="19"/>
  <c r="F23" i="29" l="1"/>
  <c r="F22" i="29"/>
  <c r="F21" i="29"/>
  <c r="F16" i="29"/>
  <c r="F15" i="29"/>
  <c r="F14" i="29"/>
  <c r="F20" i="29"/>
  <c r="C106" i="25"/>
  <c r="C107" i="25" s="1"/>
  <c r="F85" i="34"/>
  <c r="F44" i="34"/>
  <c r="F33" i="34"/>
  <c r="C16" i="51"/>
  <c r="F119" i="34" l="1"/>
  <c r="F83" i="34"/>
  <c r="F84" i="34"/>
  <c r="F86" i="34"/>
  <c r="E114" i="34"/>
  <c r="D23" i="1" s="1"/>
  <c r="E89" i="34"/>
  <c r="D22" i="1" s="1"/>
  <c r="F74" i="34" l="1"/>
  <c r="F75" i="34"/>
  <c r="F76" i="34"/>
  <c r="F77" i="34"/>
  <c r="F78" i="34"/>
  <c r="F79" i="34"/>
  <c r="C45" i="25"/>
  <c r="C47" i="25" s="1"/>
  <c r="C36" i="37" l="1"/>
  <c r="B59" i="50" l="1"/>
  <c r="B60" i="50" s="1"/>
  <c r="D89" i="34"/>
  <c r="C22" i="1" s="1"/>
  <c r="F73" i="34"/>
  <c r="D51" i="34"/>
  <c r="C21" i="1" s="1"/>
  <c r="C82" i="25"/>
  <c r="C84" i="25" s="1"/>
  <c r="C10" i="40"/>
  <c r="D33" i="19" s="1"/>
  <c r="F16" i="54" l="1"/>
  <c r="F19" i="54" s="1"/>
  <c r="F29" i="54" l="1"/>
  <c r="F31" i="54" s="1"/>
  <c r="F32" i="54" s="1"/>
  <c r="F24" i="54"/>
  <c r="F26" i="54" s="1"/>
  <c r="D24" i="54" l="1"/>
  <c r="D26" i="54"/>
  <c r="F42" i="54"/>
  <c r="F44" i="54" s="1"/>
  <c r="F41" i="46"/>
  <c r="E41" i="53"/>
  <c r="C96" i="25" l="1"/>
  <c r="D122" i="19" l="1"/>
  <c r="F122" i="19" s="1"/>
  <c r="D24" i="19" l="1"/>
  <c r="C41" i="52" l="1"/>
  <c r="H17" i="29"/>
  <c r="I16" i="29"/>
  <c r="E17" i="29"/>
  <c r="D110" i="19" s="1"/>
  <c r="F110" i="19" s="1"/>
  <c r="J16" i="29"/>
  <c r="D17" i="29"/>
  <c r="D108" i="19" s="1"/>
  <c r="F108" i="19" s="1"/>
  <c r="D106" i="19"/>
  <c r="F106" i="19" s="1"/>
  <c r="F139" i="19"/>
  <c r="C11" i="45" l="1"/>
  <c r="C11" i="40" l="1"/>
  <c r="E30" i="7"/>
  <c r="F36" i="7"/>
  <c r="F128" i="34" l="1"/>
  <c r="F64" i="34"/>
  <c r="F61" i="34"/>
  <c r="H24" i="29" l="1"/>
  <c r="E24" i="29"/>
  <c r="D111" i="19" s="1"/>
  <c r="F111" i="19" s="1"/>
  <c r="D24" i="29"/>
  <c r="D109" i="19" s="1"/>
  <c r="F109" i="19" s="1"/>
  <c r="C24" i="29"/>
  <c r="D107" i="19" s="1"/>
  <c r="I23" i="29"/>
  <c r="J23" i="29" s="1"/>
  <c r="I22" i="29"/>
  <c r="J22" i="29" s="1"/>
  <c r="I21" i="29"/>
  <c r="I20" i="29"/>
  <c r="H26" i="29"/>
  <c r="I15" i="29"/>
  <c r="I14" i="29"/>
  <c r="J14" i="29" s="1"/>
  <c r="I13" i="29"/>
  <c r="F13" i="29"/>
  <c r="J13" i="29" s="1"/>
  <c r="I12" i="29"/>
  <c r="F107" i="19" l="1"/>
  <c r="I17" i="29"/>
  <c r="D112" i="19" s="1"/>
  <c r="F112" i="19" s="1"/>
  <c r="I24" i="29"/>
  <c r="J20" i="29"/>
  <c r="J15" i="29"/>
  <c r="D26" i="29"/>
  <c r="F12" i="29"/>
  <c r="F17" i="29" s="1"/>
  <c r="E26" i="29"/>
  <c r="C26" i="29"/>
  <c r="J21" i="29"/>
  <c r="F24" i="29"/>
  <c r="I26" i="29" l="1"/>
  <c r="D113" i="19"/>
  <c r="J24" i="29"/>
  <c r="F26" i="29"/>
  <c r="J12" i="29"/>
  <c r="J17" i="29" s="1"/>
  <c r="F113" i="19" l="1"/>
  <c r="D115" i="19"/>
  <c r="C26" i="2" s="1"/>
  <c r="J26" i="29"/>
  <c r="J35" i="29" s="1"/>
  <c r="H35" i="51" l="1"/>
  <c r="C14" i="51" l="1"/>
  <c r="H51" i="51"/>
  <c r="E102" i="19" l="1"/>
  <c r="D25" i="2" s="1"/>
  <c r="D102" i="19"/>
  <c r="C25" i="2" s="1"/>
  <c r="F99" i="19"/>
  <c r="F100" i="19"/>
  <c r="F107" i="34" l="1"/>
  <c r="F104" i="34" l="1"/>
  <c r="F105" i="34"/>
  <c r="F106" i="34"/>
  <c r="F62" i="34"/>
  <c r="C57" i="25"/>
  <c r="C17" i="51"/>
  <c r="E32" i="1" l="1"/>
  <c r="C33" i="1"/>
  <c r="B33" i="52"/>
  <c r="B32" i="52"/>
  <c r="B35" i="25" l="1"/>
  <c r="B34" i="25"/>
  <c r="B50" i="25" s="1"/>
  <c r="B67" i="25" s="1"/>
  <c r="B33" i="25"/>
  <c r="B49" i="25" s="1"/>
  <c r="B66" i="25" s="1"/>
  <c r="F98" i="19"/>
  <c r="F102" i="19" s="1"/>
  <c r="E25" i="2" l="1"/>
  <c r="F136" i="34" l="1"/>
  <c r="F94" i="34"/>
  <c r="F80" i="34"/>
  <c r="E25" i="7" l="1"/>
  <c r="E27" i="7"/>
  <c r="C58" i="25" l="1"/>
  <c r="D141" i="19"/>
  <c r="D138" i="19"/>
  <c r="D137" i="19"/>
  <c r="A35" i="35"/>
  <c r="A34" i="35"/>
  <c r="A37" i="50"/>
  <c r="A36" i="50"/>
  <c r="A24" i="50"/>
  <c r="A23" i="50"/>
  <c r="E126" i="19"/>
  <c r="D33" i="2" s="1"/>
  <c r="D123" i="19"/>
  <c r="F123" i="19" s="1"/>
  <c r="D121" i="19"/>
  <c r="F121" i="19" s="1"/>
  <c r="D120" i="19"/>
  <c r="F120" i="19" s="1"/>
  <c r="D119" i="19"/>
  <c r="F119" i="19" s="1"/>
  <c r="E133" i="19"/>
  <c r="D34" i="2" s="1"/>
  <c r="F61" i="19"/>
  <c r="D126" i="19" l="1"/>
  <c r="C33" i="2" s="1"/>
  <c r="C10" i="52" l="1"/>
  <c r="D130" i="19" s="1"/>
  <c r="D133" i="19" s="1"/>
  <c r="D15" i="31" l="1"/>
  <c r="D25" i="31"/>
  <c r="D28" i="31" s="1"/>
  <c r="D19" i="31"/>
  <c r="D21" i="31" s="1"/>
  <c r="D27" i="31" s="1"/>
  <c r="E32" i="7"/>
  <c r="F32" i="7" s="1"/>
  <c r="D151" i="19"/>
  <c r="F151" i="19" s="1"/>
  <c r="D150" i="19"/>
  <c r="F150" i="19" s="1"/>
  <c r="D149" i="19"/>
  <c r="F149" i="19" s="1"/>
  <c r="D148" i="19"/>
  <c r="F148" i="19" s="1"/>
  <c r="D147" i="19"/>
  <c r="F131" i="19"/>
  <c r="F17" i="19"/>
  <c r="F16" i="19"/>
  <c r="F15" i="19"/>
  <c r="F14" i="19"/>
  <c r="B46" i="50"/>
  <c r="B33" i="50"/>
  <c r="B15" i="50"/>
  <c r="B46" i="35"/>
  <c r="B47" i="35" s="1"/>
  <c r="C38" i="37"/>
  <c r="B14" i="35"/>
  <c r="F141" i="19" s="1"/>
  <c r="B12" i="32"/>
  <c r="B12" i="36"/>
  <c r="B16" i="36" s="1"/>
  <c r="D157" i="19"/>
  <c r="F157" i="19" s="1"/>
  <c r="F159" i="19" s="1"/>
  <c r="F19" i="47"/>
  <c r="F16" i="47"/>
  <c r="F43" i="46"/>
  <c r="F22" i="46"/>
  <c r="D26" i="46" s="1"/>
  <c r="F26" i="46" s="1"/>
  <c r="F16" i="46"/>
  <c r="D46" i="38"/>
  <c r="D45" i="38"/>
  <c r="F20" i="38"/>
  <c r="D22" i="38" s="1"/>
  <c r="F22" i="38" s="1"/>
  <c r="F24" i="38" s="1"/>
  <c r="F14" i="38"/>
  <c r="F43" i="38" s="1"/>
  <c r="F25" i="23"/>
  <c r="F21" i="23"/>
  <c r="F28" i="23" s="1"/>
  <c r="D28" i="39"/>
  <c r="D27" i="39"/>
  <c r="D42" i="19"/>
  <c r="C12" i="22"/>
  <c r="C13" i="40" s="1"/>
  <c r="D35" i="19" s="1"/>
  <c r="E10" i="41"/>
  <c r="G9" i="41"/>
  <c r="F33" i="19"/>
  <c r="F33" i="7"/>
  <c r="F31" i="7"/>
  <c r="H31" i="7" s="1"/>
  <c r="F30" i="7"/>
  <c r="F29" i="7"/>
  <c r="F28" i="7"/>
  <c r="H28" i="7" s="1"/>
  <c r="F27" i="7"/>
  <c r="E26" i="7"/>
  <c r="F26" i="7" s="1"/>
  <c r="F25" i="7"/>
  <c r="E24" i="7"/>
  <c r="F24" i="7" s="1"/>
  <c r="E23" i="7"/>
  <c r="F23" i="7" s="1"/>
  <c r="E22" i="7"/>
  <c r="F22" i="7" s="1"/>
  <c r="F21" i="7"/>
  <c r="F20" i="7"/>
  <c r="F19" i="7"/>
  <c r="F18" i="7"/>
  <c r="F17" i="7"/>
  <c r="H17" i="7" s="1"/>
  <c r="F16" i="7"/>
  <c r="F15" i="7"/>
  <c r="F14" i="7"/>
  <c r="F13" i="7"/>
  <c r="H13" i="7" s="1"/>
  <c r="F12" i="7"/>
  <c r="F11" i="7"/>
  <c r="F10" i="7"/>
  <c r="C13" i="26"/>
  <c r="E139" i="34"/>
  <c r="D139" i="34"/>
  <c r="F137" i="34"/>
  <c r="F135" i="34"/>
  <c r="G135" i="34" s="1"/>
  <c r="E131" i="34"/>
  <c r="D24" i="1" s="1"/>
  <c r="D131" i="34"/>
  <c r="C24" i="1" s="1"/>
  <c r="F129" i="34"/>
  <c r="F127" i="34"/>
  <c r="F126" i="34"/>
  <c r="F125" i="34"/>
  <c r="F124" i="34"/>
  <c r="F121" i="34"/>
  <c r="F118" i="34"/>
  <c r="D114" i="34"/>
  <c r="C23" i="1" s="1"/>
  <c r="F112" i="34"/>
  <c r="F111" i="34"/>
  <c r="F110" i="34"/>
  <c r="F109" i="34"/>
  <c r="F108" i="34"/>
  <c r="F103" i="34"/>
  <c r="F102" i="34"/>
  <c r="F100" i="34"/>
  <c r="F99" i="34"/>
  <c r="F101" i="34"/>
  <c r="F98" i="34"/>
  <c r="F97" i="34"/>
  <c r="F96" i="34"/>
  <c r="F95" i="34"/>
  <c r="F93" i="34"/>
  <c r="F87" i="34"/>
  <c r="F82" i="34"/>
  <c r="F81" i="34"/>
  <c r="F72" i="34"/>
  <c r="F71" i="34"/>
  <c r="F70" i="34"/>
  <c r="F69" i="34"/>
  <c r="F68" i="34"/>
  <c r="F67" i="34"/>
  <c r="F66" i="34"/>
  <c r="F63" i="34"/>
  <c r="F60" i="34"/>
  <c r="F59" i="34"/>
  <c r="F58" i="34"/>
  <c r="F57" i="34"/>
  <c r="F56" i="34"/>
  <c r="F55" i="34"/>
  <c r="F49" i="34"/>
  <c r="F48" i="34"/>
  <c r="F47" i="34"/>
  <c r="F46" i="34"/>
  <c r="F45" i="34"/>
  <c r="F43" i="34"/>
  <c r="F42" i="34"/>
  <c r="F41" i="34"/>
  <c r="F40" i="34"/>
  <c r="F39" i="34"/>
  <c r="F36" i="34"/>
  <c r="F35" i="34"/>
  <c r="F34" i="34"/>
  <c r="F32" i="34"/>
  <c r="E28" i="34"/>
  <c r="D16" i="1" s="1"/>
  <c r="D28" i="34"/>
  <c r="C16" i="1" s="1"/>
  <c r="F26" i="34"/>
  <c r="F28" i="34" s="1"/>
  <c r="E22" i="34"/>
  <c r="D22" i="34"/>
  <c r="C15" i="1" s="1"/>
  <c r="F20" i="34"/>
  <c r="F22" i="34" s="1"/>
  <c r="E16" i="34"/>
  <c r="D14" i="1" s="1"/>
  <c r="D16" i="34"/>
  <c r="C14" i="1" s="1"/>
  <c r="F14" i="34"/>
  <c r="F13" i="34"/>
  <c r="F12" i="34"/>
  <c r="H25" i="16"/>
  <c r="E24" i="16"/>
  <c r="E23" i="16"/>
  <c r="E22" i="16"/>
  <c r="F25" i="16"/>
  <c r="E21" i="16"/>
  <c r="F20" i="16"/>
  <c r="E20" i="16" s="1"/>
  <c r="E19" i="16"/>
  <c r="E18" i="16"/>
  <c r="B8" i="16"/>
  <c r="B6" i="16"/>
  <c r="E159" i="19"/>
  <c r="D37" i="2" s="1"/>
  <c r="E153" i="19"/>
  <c r="D36" i="2" s="1"/>
  <c r="E143" i="19"/>
  <c r="D35" i="2" s="1"/>
  <c r="F140" i="19"/>
  <c r="F138" i="19"/>
  <c r="E115" i="19"/>
  <c r="D26" i="2" s="1"/>
  <c r="E91" i="19"/>
  <c r="D91" i="19"/>
  <c r="F90" i="19"/>
  <c r="F89" i="19"/>
  <c r="E86" i="19"/>
  <c r="D86" i="19"/>
  <c r="F85" i="19"/>
  <c r="F84" i="19"/>
  <c r="E81" i="19"/>
  <c r="D81" i="19"/>
  <c r="F80" i="19"/>
  <c r="F79" i="19"/>
  <c r="E76" i="19"/>
  <c r="F75" i="19"/>
  <c r="D76" i="19"/>
  <c r="F73" i="19"/>
  <c r="E70" i="19"/>
  <c r="F69" i="19"/>
  <c r="F67" i="19"/>
  <c r="E64" i="19"/>
  <c r="F63" i="19"/>
  <c r="E58" i="19"/>
  <c r="F57" i="19"/>
  <c r="D56" i="19"/>
  <c r="D58" i="19" s="1"/>
  <c r="F55" i="19"/>
  <c r="E44" i="19"/>
  <c r="D19" i="2" s="1"/>
  <c r="E28" i="19"/>
  <c r="D17" i="2" s="1"/>
  <c r="F26" i="19"/>
  <c r="E20" i="19"/>
  <c r="D16" i="2" s="1"/>
  <c r="D13" i="19"/>
  <c r="A46" i="1"/>
  <c r="E31" i="1"/>
  <c r="E45" i="2"/>
  <c r="D21" i="2" l="1"/>
  <c r="F25" i="19"/>
  <c r="B18" i="36"/>
  <c r="B20" i="36" s="1"/>
  <c r="B22" i="36"/>
  <c r="B34" i="36" s="1"/>
  <c r="D15" i="1"/>
  <c r="E15" i="1" s="1"/>
  <c r="H37" i="7"/>
  <c r="D49" i="19"/>
  <c r="F32" i="23"/>
  <c r="F30" i="23"/>
  <c r="F34" i="23"/>
  <c r="F21" i="47"/>
  <c r="F52" i="23"/>
  <c r="G10" i="41"/>
  <c r="H10" i="41"/>
  <c r="F89" i="34"/>
  <c r="F51" i="34"/>
  <c r="F114" i="34"/>
  <c r="D24" i="46"/>
  <c r="F24" i="46" s="1"/>
  <c r="D38" i="2"/>
  <c r="D41" i="2" s="1"/>
  <c r="E44" i="2"/>
  <c r="D41" i="19"/>
  <c r="F41" i="19" s="1"/>
  <c r="E37" i="7"/>
  <c r="D37" i="7"/>
  <c r="D18" i="42"/>
  <c r="D21" i="42" s="1"/>
  <c r="D24" i="38"/>
  <c r="D17" i="1"/>
  <c r="E24" i="1"/>
  <c r="E16" i="1"/>
  <c r="E14" i="1"/>
  <c r="D25" i="1"/>
  <c r="E21" i="1"/>
  <c r="F62" i="19"/>
  <c r="F35" i="19"/>
  <c r="F86" i="19"/>
  <c r="F130" i="19"/>
  <c r="F133" i="19" s="1"/>
  <c r="C34" i="2"/>
  <c r="F126" i="19"/>
  <c r="F68" i="19"/>
  <c r="F81" i="19"/>
  <c r="D94" i="19"/>
  <c r="C24" i="2" s="1"/>
  <c r="F91" i="19"/>
  <c r="F74" i="19"/>
  <c r="E94" i="19"/>
  <c r="D24" i="2" s="1"/>
  <c r="F56" i="19"/>
  <c r="F58" i="19" s="1"/>
  <c r="F16" i="34"/>
  <c r="E30" i="1"/>
  <c r="E33" i="1" s="1"/>
  <c r="F139" i="34"/>
  <c r="F131" i="34"/>
  <c r="C17" i="1"/>
  <c r="F42" i="19"/>
  <c r="F18" i="19"/>
  <c r="D29" i="31"/>
  <c r="F37" i="7"/>
  <c r="D26" i="39"/>
  <c r="F13" i="19"/>
  <c r="D143" i="19"/>
  <c r="D159" i="19"/>
  <c r="C37" i="2" s="1"/>
  <c r="D153" i="19"/>
  <c r="C36" i="2" s="1"/>
  <c r="F137" i="19"/>
  <c r="F143" i="19" s="1"/>
  <c r="F147" i="19"/>
  <c r="F153" i="19" s="1"/>
  <c r="D9" i="39" l="1"/>
  <c r="D18" i="39" s="1"/>
  <c r="B17" i="35"/>
  <c r="C35" i="2"/>
  <c r="C38" i="2" s="1"/>
  <c r="H40" i="7"/>
  <c r="C9" i="40"/>
  <c r="D32" i="19" s="1"/>
  <c r="C33" i="42"/>
  <c r="C25" i="42"/>
  <c r="C27" i="42" s="1"/>
  <c r="F64" i="19"/>
  <c r="H62" i="19"/>
  <c r="F76" i="19"/>
  <c r="H74" i="19"/>
  <c r="F70" i="19"/>
  <c r="H68" i="19"/>
  <c r="F30" i="47"/>
  <c r="D25" i="47"/>
  <c r="F23" i="47"/>
  <c r="F25" i="47" s="1"/>
  <c r="D23" i="47"/>
  <c r="C45" i="42"/>
  <c r="F115" i="19"/>
  <c r="E23" i="1"/>
  <c r="E22" i="1"/>
  <c r="I9" i="41"/>
  <c r="I10" i="41" s="1"/>
  <c r="C12" i="40" s="1"/>
  <c r="D34" i="19" s="1"/>
  <c r="F34" i="19" s="1"/>
  <c r="D44" i="19"/>
  <c r="C19" i="2" s="1"/>
  <c r="F44" i="19"/>
  <c r="F47" i="38"/>
  <c r="F24" i="19"/>
  <c r="D28" i="19"/>
  <c r="E17" i="1"/>
  <c r="D27" i="1"/>
  <c r="D37" i="1" s="1"/>
  <c r="D27" i="2"/>
  <c r="D29" i="2" s="1"/>
  <c r="E36" i="2"/>
  <c r="E34" i="2"/>
  <c r="E33" i="2"/>
  <c r="C25" i="1"/>
  <c r="C27" i="1" s="1"/>
  <c r="C37" i="1" s="1"/>
  <c r="C46" i="2" s="1"/>
  <c r="D20" i="19"/>
  <c r="C16" i="2" s="1"/>
  <c r="F20" i="19"/>
  <c r="D48" i="19" l="1"/>
  <c r="F48" i="19" s="1"/>
  <c r="F94" i="19"/>
  <c r="F28" i="19"/>
  <c r="C17" i="2"/>
  <c r="D38" i="1"/>
  <c r="D48" i="2"/>
  <c r="D50" i="2" s="1"/>
  <c r="D47" i="38"/>
  <c r="D48" i="38" s="1"/>
  <c r="D52" i="38" s="1"/>
  <c r="F31" i="47"/>
  <c r="F32" i="47" s="1"/>
  <c r="E25" i="1"/>
  <c r="E27" i="1" s="1"/>
  <c r="E37" i="1" s="1"/>
  <c r="C41" i="2"/>
  <c r="E35" i="2"/>
  <c r="E19" i="2"/>
  <c r="E37" i="2"/>
  <c r="C27" i="2"/>
  <c r="E16" i="2"/>
  <c r="E24" i="2"/>
  <c r="C48" i="2"/>
  <c r="F32" i="19"/>
  <c r="F37" i="19" s="1"/>
  <c r="C38" i="1"/>
  <c r="C14" i="40"/>
  <c r="E38" i="2" l="1"/>
  <c r="E17" i="2"/>
  <c r="C50" i="2"/>
  <c r="E50" i="2" s="1"/>
  <c r="F49" i="19"/>
  <c r="F51" i="19" s="1"/>
  <c r="D29" i="39"/>
  <c r="D31" i="39" s="1"/>
  <c r="F33" i="47"/>
  <c r="F34" i="47" s="1"/>
  <c r="F35" i="47" s="1"/>
  <c r="F36" i="47" s="1"/>
  <c r="F37" i="47" s="1"/>
  <c r="F38" i="47" s="1"/>
  <c r="F39" i="47" s="1"/>
  <c r="F40" i="47" s="1"/>
  <c r="D51" i="2"/>
  <c r="E41" i="2"/>
  <c r="E26" i="2"/>
  <c r="E27" i="2" s="1"/>
  <c r="E38" i="1"/>
  <c r="D37" i="19"/>
  <c r="C18" i="2" s="1"/>
  <c r="E46" i="2"/>
  <c r="E48" i="2" s="1"/>
  <c r="D51" i="19" l="1"/>
  <c r="C20" i="2" s="1"/>
  <c r="F43" i="47"/>
  <c r="C21" i="2" l="1"/>
  <c r="E20" i="2"/>
  <c r="E18" i="2"/>
  <c r="C29" i="2" l="1"/>
  <c r="E21" i="2"/>
  <c r="C51" i="2"/>
  <c r="E29" i="2" l="1"/>
  <c r="E51" i="2" s="1"/>
</calcChain>
</file>

<file path=xl/sharedStrings.xml><?xml version="1.0" encoding="utf-8"?>
<sst xmlns="http://schemas.openxmlformats.org/spreadsheetml/2006/main" count="1362" uniqueCount="883">
  <si>
    <t xml:space="preserve"> </t>
  </si>
  <si>
    <t>FONDO PATRIMONIAL DE LAS EMPRESAS REFORMADAS</t>
  </si>
  <si>
    <t xml:space="preserve">ESTADO DE SITUACIÓN </t>
  </si>
  <si>
    <t>AL 31 DE ENERO DEL 2025</t>
  </si>
  <si>
    <t>Valores expresados en RD$</t>
  </si>
  <si>
    <t>Notas</t>
  </si>
  <si>
    <t>Mes Actual</t>
  </si>
  <si>
    <t>Mes Anterior</t>
  </si>
  <si>
    <t>Variación</t>
  </si>
  <si>
    <t>ACTIVOS</t>
  </si>
  <si>
    <t>Corrientes:</t>
  </si>
  <si>
    <t xml:space="preserve">Efectivo en caja y banco            </t>
  </si>
  <si>
    <t xml:space="preserve">Inversiones a corto plazo           </t>
  </si>
  <si>
    <t xml:space="preserve">Cuentas por cobrar                    </t>
  </si>
  <si>
    <t>Inventario</t>
  </si>
  <si>
    <t xml:space="preserve">Gastos pagados por anticipado               </t>
  </si>
  <si>
    <t>Total activos corrientes</t>
  </si>
  <si>
    <t>No Corrientes:</t>
  </si>
  <si>
    <t>Inversiones en acciones</t>
  </si>
  <si>
    <t>Avances a futuras capitalizaciones</t>
  </si>
  <si>
    <t>Mobiliarios y equipos, Neto</t>
  </si>
  <si>
    <t>Total activos no corrientes</t>
  </si>
  <si>
    <t>TOTAL ACTIVOS</t>
  </si>
  <si>
    <t>PASIVOS</t>
  </si>
  <si>
    <t xml:space="preserve">Cuentas por pagar proveedores                     </t>
  </si>
  <si>
    <t xml:space="preserve">Cuentas por pagar contratistas                           </t>
  </si>
  <si>
    <t>Gastos de personal por pagar</t>
  </si>
  <si>
    <t>Deducciones y retenciones por pagar</t>
  </si>
  <si>
    <t xml:space="preserve">Otras cuentas por pagar                   </t>
  </si>
  <si>
    <t>Total pasivo a corto plazo</t>
  </si>
  <si>
    <t>TOTAL PASIVOS</t>
  </si>
  <si>
    <t>PATRIMONIO</t>
  </si>
  <si>
    <t xml:space="preserve">Patrimonio Institucional </t>
  </si>
  <si>
    <t>Resultado del ejercicio anterior</t>
  </si>
  <si>
    <t>Resultado del ejercicio corriente</t>
  </si>
  <si>
    <t>TOTAL PATRIMONIO</t>
  </si>
  <si>
    <t>TOTAL PASIVOS Y PATRIMONIO</t>
  </si>
  <si>
    <t>Carlos Suberví</t>
  </si>
  <si>
    <t>Marleny Medrano</t>
  </si>
  <si>
    <t>Encargado División de Contabilidad</t>
  </si>
  <si>
    <t>Directora Administrativa Financiera</t>
  </si>
  <si>
    <t>José E. Florentino</t>
  </si>
  <si>
    <t>Presidente</t>
  </si>
  <si>
    <t xml:space="preserve">ESTADO DE RESULTADOS </t>
  </si>
  <si>
    <t>NOTAS</t>
  </si>
  <si>
    <t>Acumulado al Mes Actual</t>
  </si>
  <si>
    <t>Acumulado al Mes Anterior</t>
  </si>
  <si>
    <t>Ingresos:</t>
  </si>
  <si>
    <t xml:space="preserve">Participación en las Empresas Reformadas     </t>
  </si>
  <si>
    <t xml:space="preserve">Intereses ganados                              </t>
  </si>
  <si>
    <t xml:space="preserve">Otros ingresos                                </t>
  </si>
  <si>
    <t>Total ingresos</t>
  </si>
  <si>
    <t>Gastos de operaciones:</t>
  </si>
  <si>
    <t xml:space="preserve">Remuneraciones                              </t>
  </si>
  <si>
    <t xml:space="preserve">Servicios no personales             </t>
  </si>
  <si>
    <t xml:space="preserve">Materiales y suministros             </t>
  </si>
  <si>
    <t xml:space="preserve">Transferencias y donaciones    </t>
  </si>
  <si>
    <t>Total gastos de operaciones</t>
  </si>
  <si>
    <t>Resultado en operaciones</t>
  </si>
  <si>
    <t>Otros ingresos (gastos) no operacionales:</t>
  </si>
  <si>
    <t>Ganancia en operaciones cambiarias</t>
  </si>
  <si>
    <t>(Pérdida) en operaciones cambiarias</t>
  </si>
  <si>
    <t>(Pérdida) por deterioro en activos</t>
  </si>
  <si>
    <t>Total otros ingresos (gastos) no operacionales:</t>
  </si>
  <si>
    <t>RESULTADO NETO</t>
  </si>
  <si>
    <t xml:space="preserve"> Carlos Suberví</t>
  </si>
  <si>
    <t xml:space="preserve">ANEXOS DE ESTADO DE SITUACIÓN </t>
  </si>
  <si>
    <t>VALORES EXPRESADOS EN RD$</t>
  </si>
  <si>
    <t>EFECTIVO EN CAJA Y BANCO:</t>
  </si>
  <si>
    <t>CAJA GENERAL</t>
  </si>
  <si>
    <t>FONDO DE CAJA CHICA</t>
  </si>
  <si>
    <t>BANCO DE RESERVAS (CTA. OPERATIVA)</t>
  </si>
  <si>
    <t>BANCO DE RESERVAS (CTA. NÓMINA)</t>
  </si>
  <si>
    <t>CTA AHORRO DÓLARES BCO DE RESERVAS A LA PAR</t>
  </si>
  <si>
    <t>CTA AHORRO DÓLARES BCO DE RESERVAS PRIMA</t>
  </si>
  <si>
    <t>-----------------------------------------------------------------------------------------------------------------------</t>
  </si>
  <si>
    <t>TOTAL EFECTIVO EN CAJA Y BANCO</t>
  </si>
  <si>
    <t xml:space="preserve">    </t>
  </si>
  <si>
    <t>INVERSIONES A CORTO PLAZO:</t>
  </si>
  <si>
    <t>CERTIFICADOS DE BANCO DE RESERVAS</t>
  </si>
  <si>
    <t>CERTIFICADOS BANCO DE RESERVAS DÓLARES A LA PAR</t>
  </si>
  <si>
    <t>CERTIFICADOS BANCO DE RESERVAS DÓLARES PRIMA</t>
  </si>
  <si>
    <t>TOTAL INVERSIONES A CORTO PLAZO</t>
  </si>
  <si>
    <t>CUENTAS POR COBRAR:</t>
  </si>
  <si>
    <t>AVANCES CONTRATOS DE CONSTRUCCIÓN</t>
  </si>
  <si>
    <t>ANTICIPOS EN COMPRAS</t>
  </si>
  <si>
    <t>CUENTAS POR COBRAR EMPLEADOS</t>
  </si>
  <si>
    <t>CUENTAS POR COBRAR MANTENIMIENTO EDIFICIO</t>
  </si>
  <si>
    <t>TOTAL CUENTAS POR COBRAR</t>
  </si>
  <si>
    <t>INVENTARIO:</t>
  </si>
  <si>
    <t>EXISTENCIAS ALMACÉN 1</t>
  </si>
  <si>
    <t>EXISTENCIAS ALMACÉN 2</t>
  </si>
  <si>
    <t>TOTAL INVENTARIO</t>
  </si>
  <si>
    <t>GASTOS PAGADOS POR ANTICIPADO:</t>
  </si>
  <si>
    <t>SEGUROS DE BIENES</t>
  </si>
  <si>
    <t>LICENCIAS</t>
  </si>
  <si>
    <t>TOTAL GASTOS PAGADOS POR ANTICIPADO</t>
  </si>
  <si>
    <t>INVERSIONES EN ACCIONES:</t>
  </si>
  <si>
    <t>PARTICIPACIÓN EN LA TABACALERA, S. A.</t>
  </si>
  <si>
    <t>BENEFICIOS (PÉRDIDAS) ACUMULADAS</t>
  </si>
  <si>
    <t>RESERVA LEGAL</t>
  </si>
  <si>
    <t>PARTICIPACIÓN EN LA TABACALERA, S. A., NETO</t>
  </si>
  <si>
    <t>PARTICIPACIÓN EN EGEITABO</t>
  </si>
  <si>
    <t>PARTICIPACIÓN EN EGEITABO, NETO</t>
  </si>
  <si>
    <t>PARTICIPACIÓN EN MOLINOS DEL OZAMA</t>
  </si>
  <si>
    <t>PARTICIPACIÓN EN MOLINOS DEL OZAMA, NETO</t>
  </si>
  <si>
    <t>PARTICIPACIÓN EN EGEHAINA</t>
  </si>
  <si>
    <t>PARTICIPACIÓN EN EGEHAINA, NETO</t>
  </si>
  <si>
    <t>PARTICIPACIÓN EN EDENORTE</t>
  </si>
  <si>
    <t>PARTICIPACIÓN EN EDENORTE, NETO</t>
  </si>
  <si>
    <t>PARTICIPACIÓN EN EDESUR</t>
  </si>
  <si>
    <t>PARTICIPACIÓN EN EDESUR, NETO</t>
  </si>
  <si>
    <t>PARTICIPACIÓN EN EDEESTE</t>
  </si>
  <si>
    <t>PARTICIPACIÓN EN EDEESTE, NETO</t>
  </si>
  <si>
    <t>TOTAL INVERSIONES EN ACCIONES</t>
  </si>
  <si>
    <t>AVANCES A FUTURAS CAPITALIZACIONES:</t>
  </si>
  <si>
    <t>LA TABACALERA, S. A.</t>
  </si>
  <si>
    <t>EDENORTE</t>
  </si>
  <si>
    <t>EDEESTE</t>
  </si>
  <si>
    <t>TOTAL AVANCES A FUTURAS CAPITALIZACIONES</t>
  </si>
  <si>
    <t>MOBILIARIOS Y EQUIPOS, NETO</t>
  </si>
  <si>
    <t>MOBILIARIOS Y EQUIPOS DE OFICINA</t>
  </si>
  <si>
    <t>DEPRECIACIÓN ACUMULADA</t>
  </si>
  <si>
    <t>ARMAS DE FUEGO</t>
  </si>
  <si>
    <t>EQUIPOS DE TRANSPORTE</t>
  </si>
  <si>
    <t>SOFTWARE</t>
  </si>
  <si>
    <t>AMORTIZACIÓN ACUMULADA</t>
  </si>
  <si>
    <t>TOTAL MOBILIARIOS Y EQUIPOS, NETO</t>
  </si>
  <si>
    <t>CUENTAS POR PAGAR:</t>
  </si>
  <si>
    <t>CUENTAS POR PAGAR PROVEEDORES</t>
  </si>
  <si>
    <t>SERVICIOS GENERALES POR PAGAR</t>
  </si>
  <si>
    <t>CAJA CHICA POR PAGAR</t>
  </si>
  <si>
    <t>CUENTAS POR PAGAR RETENCIONES</t>
  </si>
  <si>
    <t>CUENTAS POR PAGAR EMPLEADOS</t>
  </si>
  <si>
    <t>CUENTAS POR PAGAR COMBUSTIBLES</t>
  </si>
  <si>
    <t xml:space="preserve">TOTAL CUENTAS POR PAGAR PROVEEDORES </t>
  </si>
  <si>
    <t>CUENTAS POR PAGAR CONTRATISTAS Y SERVICIOS Y HONORARIOS:</t>
  </si>
  <si>
    <t>CUENTAS POR PAGAR CONSTRUCCIONES DE INFRAESTRUCTURA</t>
  </si>
  <si>
    <t>CUENTAS POR PAGAR SERVICIOS Y HONORARIOS</t>
  </si>
  <si>
    <t>TOTAL CUENTAS POR PAGAR CONTRATISTAS Y SERVICIOS Y HONORARIOS</t>
  </si>
  <si>
    <t>GASTOS DE PERSONAL POR PAGAR:</t>
  </si>
  <si>
    <t>SALARIOS POR PAGAR</t>
  </si>
  <si>
    <t>GRATIFICACIONES Y BONIFICACIONES POR PAGAR</t>
  </si>
  <si>
    <t>CONTRIBUCION A LA SEG SOCIAL POR PAGAR</t>
  </si>
  <si>
    <t>VACACIONES POR PAGAR</t>
  </si>
  <si>
    <t>REGALÍA PASCUAL POR PAGAR</t>
  </si>
  <si>
    <t>TOTAL GASTOS DE PERSONAL POR PAGAR</t>
  </si>
  <si>
    <t>DEDUCCIONES Y RETENCIONES POR PAGAR:</t>
  </si>
  <si>
    <t>RETENCIONES IMPUESTOS S/RENTA A PROVEEDORES</t>
  </si>
  <si>
    <t>RETENCIONES IMPUESTOS S/RENTA A EMPLEADOS</t>
  </si>
  <si>
    <t>RETENCIÓN ITBIS</t>
  </si>
  <si>
    <t>RETENCIÓN CODIA</t>
  </si>
  <si>
    <t>RETENCIÓN FOPETCONS</t>
  </si>
  <si>
    <t>TOTAL DEDUCCIONES Y RETENCIONES POR PAGAR</t>
  </si>
  <si>
    <t>OTRAS CUENTAS POR PAGAR:</t>
  </si>
  <si>
    <t>TOTAL OTRAS CUENTAS POR PAGAR</t>
  </si>
  <si>
    <t>ANEXOS ESTADO DE RESULTADOS</t>
  </si>
  <si>
    <t>Acumulado Mes Actual</t>
  </si>
  <si>
    <t>Acumulado Mes Anterior</t>
  </si>
  <si>
    <t>INGRESOS POR PARTICIPACIÓN EN EMPRESAS REFORMADAS:</t>
  </si>
  <si>
    <t>INGRESO POR PARTICIPACIÓN EGEITABO</t>
  </si>
  <si>
    <t>INGRESO POR PARTICIPACIÓN MOLINOS DEL OZAMA</t>
  </si>
  <si>
    <t>INGRESO POR PARTICIPACIÓN EGEHAINA</t>
  </si>
  <si>
    <t>---------------------------------------------------------------------------------------------------------------------</t>
  </si>
  <si>
    <t>TOTAL INGRESOS POR PARTICIPACIÓN EN EMPRESAS REFORMADAS</t>
  </si>
  <si>
    <t>INTERESES GANADOS:</t>
  </si>
  <si>
    <t>BANCO DE RESERVAS</t>
  </si>
  <si>
    <t>TOTAL INTERESES GANADOS</t>
  </si>
  <si>
    <t>OTROS INGRESOS:</t>
  </si>
  <si>
    <t>OTROS INGRESOS</t>
  </si>
  <si>
    <t>TOTAL OTROS INGRESOS</t>
  </si>
  <si>
    <t>REMUNERACIONES:</t>
  </si>
  <si>
    <t>SUELDOS PARA CARGOS FIJOS</t>
  </si>
  <si>
    <t>SUPLENCIAS</t>
  </si>
  <si>
    <t>COMPENSACIÓN POR GASTOS DE ALIMENTOS</t>
  </si>
  <si>
    <t>COMPENSACIÓN POR HORAS EXTRAS</t>
  </si>
  <si>
    <t>PRIMAS DE TRANSPORTE</t>
  </si>
  <si>
    <t>COMPENSACIÓN POR SERVICIOS DE SEGURIDAD</t>
  </si>
  <si>
    <t>COMPENSACIÓN AL CONSEJO DE DIRECTORES</t>
  </si>
  <si>
    <t>FESTIVIDADES</t>
  </si>
  <si>
    <t>HONORARIOS PROFESIONALES Y TÉCNICOS</t>
  </si>
  <si>
    <t>DIETAS EN EL PAÍS</t>
  </si>
  <si>
    <t>GASTOS DE REPRESENTACIÓN</t>
  </si>
  <si>
    <t>SUELDOS NAVIDEÑOS</t>
  </si>
  <si>
    <t>BONIFICACIONES</t>
  </si>
  <si>
    <t>PRESTACIONES LABORALES</t>
  </si>
  <si>
    <t>PAGOS DE VACACIONES</t>
  </si>
  <si>
    <t>CONTRIBUCIÓN A EMPLEADOS POR GASTOS FÚNEBRES</t>
  </si>
  <si>
    <t>INCENTIVO POR VACACIONES</t>
  </si>
  <si>
    <t>CONTRIBUCIÓN SEGURIDAD SOCIAL Y RIESGO LABORAL</t>
  </si>
  <si>
    <t>TOTAL REMUNERACIONES</t>
  </si>
  <si>
    <t>SERVICIOS NO PERSONALES:</t>
  </si>
  <si>
    <t>TELÉFONO LOCAL</t>
  </si>
  <si>
    <t>INTERNET Y TV POR CABLE</t>
  </si>
  <si>
    <t>ELECTRICIDAD</t>
  </si>
  <si>
    <t>AGUA</t>
  </si>
  <si>
    <t>LIMPIEZA E HIGIENE</t>
  </si>
  <si>
    <t>RESIDUOS SÓLIDOS</t>
  </si>
  <si>
    <t>PUBLICIDAD Y PROPAGANDA</t>
  </si>
  <si>
    <t>IMPRESIÓN Y ENCUADERNACIÓN</t>
  </si>
  <si>
    <t>VIÁTICOS DENTRO DEL PAÍS</t>
  </si>
  <si>
    <t>VIÁTICOS FUERA DEL PAÍS</t>
  </si>
  <si>
    <t>VIÁTICOS VIAJES A LA TABACALERA, S. A.</t>
  </si>
  <si>
    <t>PASAJES</t>
  </si>
  <si>
    <t>PEAJES</t>
  </si>
  <si>
    <t>ALQUILER MAQUINARIAS Y EQUIPOS DE OFICINAS</t>
  </si>
  <si>
    <t>SEGUROS DE BIENES MUEBLES</t>
  </si>
  <si>
    <t>SEGUROS DE PERSONAS</t>
  </si>
  <si>
    <t>OBRAS MENORES</t>
  </si>
  <si>
    <t>MANTENIMIENTO Y REPARACIÓN MOBILIARIOS Y EQUIPOS</t>
  </si>
  <si>
    <t>MANTENIMIENTO EQUIPOS DE TRANSPORTE, TRACCIÓN Y</t>
  </si>
  <si>
    <t>MEJORAS Y EMBELLECIMIENTO DE INSTALACIONES</t>
  </si>
  <si>
    <t>OTROS ALQUILERES</t>
  </si>
  <si>
    <t>MANTENIMIENTO DEL SISTEMA ELÉCTRICO</t>
  </si>
  <si>
    <t>GASTOS JUDICIALES</t>
  </si>
  <si>
    <t>COMISIONES Y GASTOS BANCARIOS</t>
  </si>
  <si>
    <t>AUDITORIA Y ESTUDIOS FINANCIEROS</t>
  </si>
  <si>
    <t>SERVICIOS FUNERARIOS Y GASTOS CONEXOS</t>
  </si>
  <si>
    <t>SERVICIOS ESPECIALES</t>
  </si>
  <si>
    <t>SERVICIOS TÉCNICOS Y PROFESIONALES</t>
  </si>
  <si>
    <t>IMPUESTOS, DERECHOS Y TASAS</t>
  </si>
  <si>
    <t>SERVICIOS DE CAPACITACIÓN</t>
  </si>
  <si>
    <t>SERVICIOS DE LAVANDERIA</t>
  </si>
  <si>
    <t>MEMBRESIA</t>
  </si>
  <si>
    <t>TOTAL SERVICIOS NO PERSONALES</t>
  </si>
  <si>
    <t>MATERIALES Y SUMINISTROS:</t>
  </si>
  <si>
    <t>ALIMENTOS Y BEBIDAS PARA PERSONAS</t>
  </si>
  <si>
    <t>ACABADOS TEXTILES</t>
  </si>
  <si>
    <t>PRENDAS DE VESTIR</t>
  </si>
  <si>
    <t>PRODUCTOS DE PAPEL Y CARTÓN</t>
  </si>
  <si>
    <t>LIBROS, REVISTAS Y PERIÓDICOS</t>
  </si>
  <si>
    <t>COMBUSTIBLES Y LUBRICANTES</t>
  </si>
  <si>
    <t>PRODUCTOS FARMACÉUTICOS Y CONEXOS</t>
  </si>
  <si>
    <t>LLANTAS Y TUBOS</t>
  </si>
  <si>
    <t>ARTÍCULOS DE PLÁSTICO</t>
  </si>
  <si>
    <t>MATERIALES DE LIMPIEZA</t>
  </si>
  <si>
    <t>ÚTILES DE ESCRITORIOS, OFICINAS Y ENSEÑANZA</t>
  </si>
  <si>
    <t>ÚTILES MÉDICOS Y QUIRÚRGICOS</t>
  </si>
  <si>
    <t>ÚTILES DE COCINA Y COMEDOR</t>
  </si>
  <si>
    <t>PRODUCTOS ELÉCTRICOS Y AFINES</t>
  </si>
  <si>
    <t>MATERIALES DE INFORMATICA</t>
  </si>
  <si>
    <t>ÚTILES DIVERSOS</t>
  </si>
  <si>
    <t>DEPRECIACIÓN MOBILIARIOS Y EQUIPOS DE OFICINA</t>
  </si>
  <si>
    <t>DEPRECIACIÓN EQUIPOS DE TRANSPORTE</t>
  </si>
  <si>
    <t>AMORTIZACIÓN BIENES INTANGIBLES</t>
  </si>
  <si>
    <t>DEPRECIACIÓN ARMAS DE FUEGO</t>
  </si>
  <si>
    <t>TOTAL MATERIALES Y SUMINISTROS</t>
  </si>
  <si>
    <t>TRANSFERENCIAS Y DONACIONES:</t>
  </si>
  <si>
    <t>AYUDAS Y DONACIONES A PERSONAS</t>
  </si>
  <si>
    <t>BECAS Y VIJES DE ESTUDIO</t>
  </si>
  <si>
    <t>TRANSFERENCIA A CORRIENSTES AL SECTOR PRIVADO</t>
  </si>
  <si>
    <t>TRANSFERENCIA A INSTITUCIONES SIN FINES DE LUCRO</t>
  </si>
  <si>
    <t>TRANSFERENCIA A CORRIENSTES A EMPRESAS PRIVADAS</t>
  </si>
  <si>
    <t>TRANSFERENCIA A CORRIENSTES A LA SEGURIDAD SOCIAL</t>
  </si>
  <si>
    <t>CONTRATISTAS DE OBRAS</t>
  </si>
  <si>
    <t>VIÁTICOS Y DIETAS PARA SUPERVISAR OBRAS</t>
  </si>
  <si>
    <t>COMPRA DE EQUIPOS PARA PROYECTOS</t>
  </si>
  <si>
    <t>OTROS GASTOS DE PROYECTOS</t>
  </si>
  <si>
    <t>TRANSFERENCIA DE CAPITAL A INSTITUCIONES SIN FINES DE LUCRO</t>
  </si>
  <si>
    <t>TRANSFERENCIAS A OTRAS INSTITUCIONES PÚBLICAS</t>
  </si>
  <si>
    <t>TOTAL TRANSFERENCIAS Y DONACIONES</t>
  </si>
  <si>
    <t>OTROS INGRESOS (GASTOS) NO OPERACIONALES:</t>
  </si>
  <si>
    <t>GANANCIA EN OPERACIONES CAMBIARIAS</t>
  </si>
  <si>
    <t>(PÉRDIDA) EN OPERACIONES CAMBIARIAS</t>
  </si>
  <si>
    <t>(PÉRDIDA) POR DETERIORO EN ACTIVOS</t>
  </si>
  <si>
    <t>TOTAL OTROS INGRESOS (GASTOS) NO OPERACIONALES</t>
  </si>
  <si>
    <t>Nota</t>
  </si>
  <si>
    <t>PATRIMONIO INSTITUCIONAL</t>
  </si>
  <si>
    <t>Descripción</t>
  </si>
  <si>
    <t>Enero 2025</t>
  </si>
  <si>
    <t>Diciembre 2024</t>
  </si>
  <si>
    <t>% De</t>
  </si>
  <si>
    <t>Cantidad de</t>
  </si>
  <si>
    <t xml:space="preserve">Total </t>
  </si>
  <si>
    <t>EMPRESA</t>
  </si>
  <si>
    <t>Participación</t>
  </si>
  <si>
    <t>Acciones</t>
  </si>
  <si>
    <t xml:space="preserve">Aporte </t>
  </si>
  <si>
    <t>EGEITABO</t>
  </si>
  <si>
    <t>MOLINOS DEL OZAMA</t>
  </si>
  <si>
    <t>EGEHAINA</t>
  </si>
  <si>
    <t>EDESUR</t>
  </si>
  <si>
    <t>TOTAL INVERSIONES EN PATRIMONIO INSTITUCIONAL</t>
  </si>
  <si>
    <t>NOTA 1</t>
  </si>
  <si>
    <t>Cédula de detalle de cuentas</t>
  </si>
  <si>
    <t>Efectivo en Caja y Banco</t>
  </si>
  <si>
    <t>Tasa de cambio</t>
  </si>
  <si>
    <t>Monto RD$</t>
  </si>
  <si>
    <t>Caja general</t>
  </si>
  <si>
    <t>Caja chica</t>
  </si>
  <si>
    <t>Cuenta corriente operativa RD$</t>
  </si>
  <si>
    <t>Cuenta corriente nómina RD$</t>
  </si>
  <si>
    <t>Cuenta de ahorro en US$, a la par</t>
  </si>
  <si>
    <t>Cuenta de ahorro en US$, prima</t>
  </si>
  <si>
    <t>Condición correcta, con tasa al RD$57.50</t>
  </si>
  <si>
    <t xml:space="preserve"> x 57.50</t>
  </si>
  <si>
    <t>Condición Actual en sistema</t>
  </si>
  <si>
    <t>Corrección necesaria</t>
  </si>
  <si>
    <t>NOTA 2</t>
  </si>
  <si>
    <t>Inversiones a Corto Plazo</t>
  </si>
  <si>
    <t>Monto US$</t>
  </si>
  <si>
    <t>BR - 9606264085</t>
  </si>
  <si>
    <t>BR - 9607211921</t>
  </si>
  <si>
    <t>BR - 9607363302</t>
  </si>
  <si>
    <t>BR - 9607919039</t>
  </si>
  <si>
    <t>Total</t>
  </si>
  <si>
    <t>NOTA 3</t>
  </si>
  <si>
    <t>Cuentas por Cobrar</t>
  </si>
  <si>
    <t>Avance contratos de construcción</t>
  </si>
  <si>
    <t>Anticipo en compras</t>
  </si>
  <si>
    <t>Intereses certificados RD$ Banreservas</t>
  </si>
  <si>
    <t>Cuentas por cobrar a empleados</t>
  </si>
  <si>
    <t>Cuentas por cobrar mantenimiento edificio</t>
  </si>
  <si>
    <t>ANÁLISIS BALANCE CUENTA AVANCE CONTRATOS DE CONSTRUCCIÓN</t>
  </si>
  <si>
    <t>BALANCE</t>
  </si>
  <si>
    <t>EJECUTADO</t>
  </si>
  <si>
    <t>ANTERIOR</t>
  </si>
  <si>
    <t>ACTUAL</t>
  </si>
  <si>
    <t>JOSE RAMON MARTINEZ HENRIQUEZ / ROBERT ANTONIO ALMANZAR MERCADO</t>
  </si>
  <si>
    <t>PARQUE ECOLOGICO LAS LAGUNAS</t>
  </si>
  <si>
    <t>P/ CORREGIR BALANCE PROVEEDOR POR DISMINUCION EN PARTIDA DE IMPREVISTOS Y AUMENTO DE ITBIS</t>
  </si>
  <si>
    <t>FELIX MARIA UBIERA SATURRIA</t>
  </si>
  <si>
    <r>
      <t xml:space="preserve">CONSTRUCCION LOTE #14 DE 15 VIVIENDAS ECONOMICAS, EN SAN JUAN DE LA MAGUANA </t>
    </r>
    <r>
      <rPr>
        <b/>
        <sz val="12"/>
        <color indexed="17"/>
        <rFont val="Museo Sans 500"/>
        <family val="3"/>
      </rPr>
      <t>240 VIVIENDAS</t>
    </r>
  </si>
  <si>
    <t>MANUEL ARCIDE DE LOS SANTOS BAUTISTA</t>
  </si>
  <si>
    <r>
      <t xml:space="preserve">CONSTRUCCION LOTE #10 DE 15 VIVIENDAS ECONOMICAS, EN SAN JUAN DE LA MAGUANA </t>
    </r>
    <r>
      <rPr>
        <b/>
        <sz val="12"/>
        <color indexed="17"/>
        <rFont val="Museo Sans 500"/>
        <family val="3"/>
      </rPr>
      <t>240 VIVIENDAS</t>
    </r>
  </si>
  <si>
    <t>JIMENEZ ALBA Y ASCIADOS SRL</t>
  </si>
  <si>
    <r>
      <t xml:space="preserve">CONSTRUCCION LOTE #12 DE 15 VIVIENDAS ECONOMICAS, EN SAN JUAN DE LA MAGUANA </t>
    </r>
    <r>
      <rPr>
        <b/>
        <sz val="12"/>
        <color indexed="17"/>
        <rFont val="Museo Sans 500"/>
        <family val="3"/>
      </rPr>
      <t>240 VIVIENDAS</t>
    </r>
  </si>
  <si>
    <t>CONSTRUCCIONES Y EQUIPOS MOLINAS SRL</t>
  </si>
  <si>
    <t>CONSTR DE 5 VIVIENDAS DE 2 Y 3 DORMITORIOS EN DIFERENTES SECTORES EN STO DGO</t>
  </si>
  <si>
    <t>MADELINE CANARIO OLIO</t>
  </si>
  <si>
    <t>CONSTRUCCION DE UNA PANADERIA REPOSTERIA EN SABANA LARGA, ELIAS PIÑA</t>
  </si>
  <si>
    <t>PLANTA FISICA PINEDA</t>
  </si>
  <si>
    <t>CONSTRUCCION LOTE #9 DE 15 VIVIENDAS ECONOMICAS, EN SAN JUAN DE LA MAGUANA 150 VIVIENDAS</t>
  </si>
  <si>
    <t>GAMUNDY CRUZ MADERA</t>
  </si>
  <si>
    <t>CONSTRUCCION DE 5 VIVIENDAS ECONOMICAS EN DIFERENTES SECTORES DE SANTIAGO</t>
  </si>
  <si>
    <t>MANUEL ANTONIO MERCEDES ESCOTO</t>
  </si>
  <si>
    <t>CONSTRUCCION DE UN  DESTACAMENTO POLICIAL EN QUITA CORAZA, BARAHONA</t>
  </si>
  <si>
    <t>MIGUEL ANTONIO BERMUDEZ TORIBIO</t>
  </si>
  <si>
    <t>CONSTRUCCION,TERMINACION Y REPARACION DE 6 VIVIENDAS ECONOMICAS EN DIF. SECTORES,STGO</t>
  </si>
  <si>
    <t>SANTO ALOMAR MARIA UREÑA</t>
  </si>
  <si>
    <t>CONSTRUCCION DE CENTRO DE CONFECCION TEXTIL PEDRO GARCIA, SANTIAGO.</t>
  </si>
  <si>
    <t>FABIOLA HAYDEE REYES MATOS</t>
  </si>
  <si>
    <t>CONSTRUCCION  DE PANADERIA REPOSTERIA LA CUMBRE, SANTIAGO.</t>
  </si>
  <si>
    <t>TATIANA PUELLO MEDINA</t>
  </si>
  <si>
    <t>CONSTRUCCION DE UN PLAY DE BASEBALL MAMBUICHE, GURABO, SANTIAGO.</t>
  </si>
  <si>
    <t>CAROLINE MANUELA LOPEZ REYES</t>
  </si>
  <si>
    <t>CONSTRUCCION DE (6) VIVIENDAS, TERMINACION DE (3) Y REPARACION DE (1) EN DIFERENTES SECTORES DE SANTIAGO</t>
  </si>
  <si>
    <t>COFEMONT, SRL</t>
  </si>
  <si>
    <t>CONSTR. DE PANADERIA REPOSTERIA LA LEONOR, PARAJE LA LEONOR MUNICIPIO SABANETA, SANTIAGO RODRIGUEZ.</t>
  </si>
  <si>
    <t>NEZARCA CONSTRUCTORA, SRL</t>
  </si>
  <si>
    <t>CONSTR. DE (4) VIVIENDAS ECONOMICAS EN DIF. SECTORES DE STO, DGO Y (1) EN SAN CRISTOBAL.</t>
  </si>
  <si>
    <t>CONSTR. DE PANADERIA REPOSTERIA Y SALON MULTIUSO LA BUENA ESPERANZA, EL PINO EN DAJABON.</t>
  </si>
  <si>
    <t>CONSTR. PANADERIA REPOSTERIA LAS MATAS DE FARFAN EN MUNICIPIO LAS MATAS DE FARFAN, SAN JUAN.</t>
  </si>
  <si>
    <t>CONSTRUCTORA SOSANMA S.R.L</t>
  </si>
  <si>
    <t>AVANCE EL 20% DEL PROYECTO CONST.(2)VIVIENDAS ECONOMICAS EN DIF. SECTORES D/ PROV.HERMANAS MIRABAL.</t>
  </si>
  <si>
    <t>CONSTRUCCIONES PALOMINO S.R.L</t>
  </si>
  <si>
    <t>AVANCE 20% PARA CONST.ESCALERA EMERGENCIA FONPER SEGUN CONTRATO 2023-38</t>
  </si>
  <si>
    <t>CONSTRUCTORA VIASAN &amp; ASOCIADOS, S.R.L.</t>
  </si>
  <si>
    <t>AVANCE 20% S/CONT.2023-041 P/TERMINACION CONSTRUCCION VIVIENDAS 4 STDO DGO Y 1 SAN CRISTOBAL.</t>
  </si>
  <si>
    <t>TERCOTECH S.R.L</t>
  </si>
  <si>
    <t>AVANCE 20% S/CONTRATO 2023-042 P/CONST.CENTRO TEXTIL PEDRO GARCIA STGO</t>
  </si>
  <si>
    <t>SANCHTE CONSTRUCTION AND BUILDING,S.R.L</t>
  </si>
  <si>
    <t>AVANCE 20% S/CONTRATO 2023-040 P/TERMINACION PABADERIA REPOST. SABANA LARGA ELIAS PIÑA</t>
  </si>
  <si>
    <t>GRUPO LUYAN S.R.L</t>
  </si>
  <si>
    <t>AVANCE 20% P/REALIZAR TRABAJOS PROY.CONST.DEL COMEDOR, ALMACEN, GARITA, BAÑO D/SEGURIDAD, EDIF.  FONPER</t>
  </si>
  <si>
    <t>AVANCE 20% PARA SUMINISTRO E INSTALACION LONA ASFALTICA Y FINO D TECHO AL EDIFICIO KASSE ACTA</t>
  </si>
  <si>
    <t xml:space="preserve">AVANCE 20% PARA INICIAR PROYECTO DE REESTRUCTURACION SISTEMA DE AGUA Y AMPLIACION CUARTO DE BMBA DEL FONPER. </t>
  </si>
  <si>
    <t>TOTAL</t>
  </si>
  <si>
    <t>cuenta no. 1104-01-001</t>
  </si>
  <si>
    <t>Anticipos en Compras</t>
  </si>
  <si>
    <t>FECHA</t>
  </si>
  <si>
    <t>NO. CHEQUE</t>
  </si>
  <si>
    <t>SUPLIDOR</t>
  </si>
  <si>
    <t>VALOR</t>
  </si>
  <si>
    <t>CONCEPTO</t>
  </si>
  <si>
    <t xml:space="preserve">SUIM SUPLIDORES INSTITUCIONALES </t>
  </si>
  <si>
    <t>AVANCE</t>
  </si>
  <si>
    <t>SKETCHPROM, SRL</t>
  </si>
  <si>
    <t>MOTYKA, S.R.L.</t>
  </si>
  <si>
    <t>BORBON TH, SRL</t>
  </si>
  <si>
    <t>BORBÓN TH, S.R.L.</t>
  </si>
  <si>
    <t>REFRIASU LOGÍSTIC AND CONSTRUCTION, SRL</t>
  </si>
  <si>
    <t>CUENTA 1104-01-004</t>
  </si>
  <si>
    <t>BOTDOM INGENIERÍA, S.R.L.</t>
  </si>
  <si>
    <t>Intereses de cuenta Ahorros US$ BR</t>
  </si>
  <si>
    <t>CUENTAS POR COBRAR A EMPLEADOS</t>
  </si>
  <si>
    <t>RELACIÓN DE DESCUENTO TELÉFONO</t>
  </si>
  <si>
    <t>No.</t>
  </si>
  <si>
    <t xml:space="preserve">NOMBRE </t>
  </si>
  <si>
    <t>CÉDULA</t>
  </si>
  <si>
    <t>CARGO</t>
  </si>
  <si>
    <t xml:space="preserve">MONTO TOTAL </t>
  </si>
  <si>
    <t xml:space="preserve">NO. DE CUOTAS </t>
  </si>
  <si>
    <t>MONTO DE LA CUOTA</t>
  </si>
  <si>
    <t>MONTO DE LAS CUOTAS DESCONTADAS</t>
  </si>
  <si>
    <t xml:space="preserve">BALANCE CXC </t>
  </si>
  <si>
    <t>EDDY DOMINGUEZ</t>
  </si>
  <si>
    <t>001-1231063-6</t>
  </si>
  <si>
    <t>ENCARGADO</t>
  </si>
  <si>
    <t>Cliente</t>
  </si>
  <si>
    <t>Superintendencia de Electricidad</t>
  </si>
  <si>
    <t>Comisión Nacional de Energía</t>
  </si>
  <si>
    <t>Cuenta  1104-02-998-011</t>
  </si>
  <si>
    <t>NOTA 4</t>
  </si>
  <si>
    <t>Existencias Almacén 1</t>
  </si>
  <si>
    <t xml:space="preserve">Grupo 001- útiles de oficina </t>
  </si>
  <si>
    <t>Grupo 023- útiles de oficina poco uso</t>
  </si>
  <si>
    <t xml:space="preserve">Grupo 002- útiles de cocina </t>
  </si>
  <si>
    <t>Grupo 004- útiles de limpieza</t>
  </si>
  <si>
    <t>Grupo 0043- alimentos y bebidas</t>
  </si>
  <si>
    <t>Grupo 0045- cartuchos y tóner</t>
  </si>
  <si>
    <t>Grupo 0008- Donaciones</t>
  </si>
  <si>
    <t>Grupo 0042- productos diversos</t>
  </si>
  <si>
    <t>Grupo 002- Activo</t>
  </si>
  <si>
    <t>Grupo 003- Activo</t>
  </si>
  <si>
    <t>Donaciones (Equipos p/proyectos - 2) 0008</t>
  </si>
  <si>
    <t>Grupo 0011 - Otros</t>
  </si>
  <si>
    <t>Grupo 0014 - Materiales de decoración</t>
  </si>
  <si>
    <t>Grupo 005 - Eléctricos</t>
  </si>
  <si>
    <t>Sub-total existencias Almacén 1</t>
  </si>
  <si>
    <t>Existencias Almacén 2</t>
  </si>
  <si>
    <t>Ebanistería</t>
  </si>
  <si>
    <t>Eléctricos</t>
  </si>
  <si>
    <t>Herramientas</t>
  </si>
  <si>
    <t>Material gastable</t>
  </si>
  <si>
    <t>Pintura</t>
  </si>
  <si>
    <t>Plomería</t>
  </si>
  <si>
    <t>Papel de embalaje</t>
  </si>
  <si>
    <t>Mota superior</t>
  </si>
  <si>
    <t>Refrigeración</t>
  </si>
  <si>
    <t>Sub-total existencias Almacén 2</t>
  </si>
  <si>
    <t>NOTA 5</t>
  </si>
  <si>
    <t>Gastos pagados por anticipado</t>
  </si>
  <si>
    <t>Seguros de bienes</t>
  </si>
  <si>
    <t>Licencias:</t>
  </si>
  <si>
    <t>Licencia Microsoft 365</t>
  </si>
  <si>
    <t>Licencia Mesa de Ayuda JIRA</t>
  </si>
  <si>
    <t>Licencia Anti Desastres</t>
  </si>
  <si>
    <t xml:space="preserve">Licencia de Software Adobe </t>
  </si>
  <si>
    <t>Total de Licencias</t>
  </si>
  <si>
    <t>Seguros Reservas prepagado</t>
  </si>
  <si>
    <t>Licencias Microsoft</t>
  </si>
  <si>
    <t>Licencias Jira</t>
  </si>
  <si>
    <t>Licencias Adobbe</t>
  </si>
  <si>
    <t>Corrección periodos anteriores</t>
  </si>
  <si>
    <t>Nuevo balance</t>
  </si>
  <si>
    <t>Pólizas de Seguros de la Institución</t>
  </si>
  <si>
    <t>DESDE EL 31 OCT 2024 HASTA EL 31 OCT 2025</t>
  </si>
  <si>
    <r>
      <t xml:space="preserve">SUPLIDOR DE SERVICIO: </t>
    </r>
    <r>
      <rPr>
        <b/>
        <sz val="12"/>
        <rFont val="Museo Sans 100"/>
        <family val="3"/>
      </rPr>
      <t>QUANTUM</t>
    </r>
  </si>
  <si>
    <r>
      <t xml:space="preserve">ASEGURADORA: </t>
    </r>
    <r>
      <rPr>
        <b/>
        <sz val="12"/>
        <rFont val="Museo Sans 100"/>
        <family val="3"/>
      </rPr>
      <t>SEGUROS BANRESERVAS</t>
    </r>
  </si>
  <si>
    <t>FACTURA</t>
  </si>
  <si>
    <t>NO. PÓLIZA</t>
  </si>
  <si>
    <t>VALOR RD$</t>
  </si>
  <si>
    <t>002914829</t>
  </si>
  <si>
    <t>2-2-502-0278183</t>
  </si>
  <si>
    <t>002893273</t>
  </si>
  <si>
    <t>2-2-201-0061783</t>
  </si>
  <si>
    <t>002893193</t>
  </si>
  <si>
    <t>2-2-801-0047211</t>
  </si>
  <si>
    <t>002893251</t>
  </si>
  <si>
    <t>2-2-815-0013469</t>
  </si>
  <si>
    <t>002893252</t>
  </si>
  <si>
    <t>2-2-812-0013468</t>
  </si>
  <si>
    <t>002914836</t>
  </si>
  <si>
    <t>2-2-503-0278669</t>
  </si>
  <si>
    <t>Menos DESCUENTO</t>
  </si>
  <si>
    <t>PAGO Ck no. 39929, d/f 22-11-2024</t>
  </si>
  <si>
    <t>TOTAL PAGADO</t>
  </si>
  <si>
    <t>GASTO MENSUAL</t>
  </si>
  <si>
    <t>NOVIEMBRE Y DICIEMBRE 2024</t>
  </si>
  <si>
    <t>ENERO - MARZO 2025</t>
  </si>
  <si>
    <t>ABRIL - OCTUBRE 2025</t>
  </si>
  <si>
    <t>AMORTIZACIÓN NOV. / 2024</t>
  </si>
  <si>
    <t>AMORTIZACIÓN DIC. / 2024</t>
  </si>
  <si>
    <t>AMORTIZACIÓN ENERO / 2025</t>
  </si>
  <si>
    <t>AMORTIZACIÓN FEBRERO / 2025</t>
  </si>
  <si>
    <t>AMORTIZACIÓN MARZO / 202</t>
  </si>
  <si>
    <t>AMORTIZACIÓN ABRIL / 2025</t>
  </si>
  <si>
    <t>AMORTIZACIÓN MAYO / 2025</t>
  </si>
  <si>
    <t>AMORTIZACIÓN JUNIO / 2025</t>
  </si>
  <si>
    <t>AMORTIZACIÓN JULIO / 2025</t>
  </si>
  <si>
    <t>AMORTIZACIÓN AGOSTO / 2025</t>
  </si>
  <si>
    <t>AMORTIZACIÓN SEPTIEMBRE / 2025</t>
  </si>
  <si>
    <t>AMORTIZACIÓN OCTUBRE / 2025</t>
  </si>
  <si>
    <t>AMORTIZACIÓN NOVIEMBRE / 2025</t>
  </si>
  <si>
    <t>TOTAL AMORTIZADO</t>
  </si>
  <si>
    <t>BALANCE ACTUAL</t>
  </si>
  <si>
    <t>Licencia de Microsoft 365</t>
  </si>
  <si>
    <t>DESDE EL 16 MARZO 2024 HASTA EL 15 MARZO 2025</t>
  </si>
  <si>
    <r>
      <t xml:space="preserve">SUPLIDOR DE SERVICIO: </t>
    </r>
    <r>
      <rPr>
        <b/>
        <sz val="12"/>
        <rFont val="Museo Sans 100"/>
        <family val="3"/>
      </rPr>
      <t>NEVER OFF TECHNOLOGY</t>
    </r>
  </si>
  <si>
    <t>MICROSOFT OFFICE</t>
  </si>
  <si>
    <t>DURACIÓN</t>
  </si>
  <si>
    <t>LICENCIA MICROSOFT 365</t>
  </si>
  <si>
    <t>1  AÑO</t>
  </si>
  <si>
    <t>DOC. NO.</t>
  </si>
  <si>
    <t>D/F</t>
  </si>
  <si>
    <t>NEVER OFF TECHNOLOGY</t>
  </si>
  <si>
    <r>
      <t xml:space="preserve">OC #6572, FACT NO. </t>
    </r>
    <r>
      <rPr>
        <b/>
        <sz val="12"/>
        <rFont val="Museo Sans 100"/>
        <family val="3"/>
      </rPr>
      <t>5603</t>
    </r>
  </si>
  <si>
    <t>MARZO  -   DICIEMBRE 2024</t>
  </si>
  <si>
    <t>10  MESES</t>
  </si>
  <si>
    <t>X  10  =</t>
  </si>
  <si>
    <t>ENERO   -   FEBRERO 2025</t>
  </si>
  <si>
    <t>2  MESES</t>
  </si>
  <si>
    <t>X  2  =</t>
  </si>
  <si>
    <t>AMORTIZACIÓN MAR/2024</t>
  </si>
  <si>
    <t>AMORTIZACIÓN ABR/2024</t>
  </si>
  <si>
    <t>AMORTIZACIÓN MAY/2024</t>
  </si>
  <si>
    <t>AMORTIZACIÓN JUN/2024</t>
  </si>
  <si>
    <t>AMORTIZACIÓN JUL/2024</t>
  </si>
  <si>
    <t>AMORTIZACIÓN AGO./2024</t>
  </si>
  <si>
    <t>AMORTIZACIÓN SEP./2024</t>
  </si>
  <si>
    <t>AMORTIZACIÓN OCT./2024</t>
  </si>
  <si>
    <t>AMORTIZACIÓN NOV./2024</t>
  </si>
  <si>
    <t>AMORTIZACIÓN DIC./2024</t>
  </si>
  <si>
    <t>AMORTIZACIÓN ENE./2025</t>
  </si>
  <si>
    <t>AMORTIZACIÓN FEB./2025</t>
  </si>
  <si>
    <t>AMORTIZACIÓN FEB./2024</t>
  </si>
  <si>
    <t>Lic. M.365</t>
  </si>
  <si>
    <t>Lic. Yira</t>
  </si>
  <si>
    <t>Lic. Adobe</t>
  </si>
  <si>
    <t>DESDE EL 1 AGOSTO 2024 HASTA EL 31 JULIO 2025</t>
  </si>
  <si>
    <r>
      <t xml:space="preserve">SUPLIDOR DE SERVICIO: </t>
    </r>
    <r>
      <rPr>
        <b/>
        <sz val="12"/>
        <rFont val="Museo Sans 100"/>
        <family val="3"/>
      </rPr>
      <t>HISPANIOLA TECHNOLOGY</t>
    </r>
  </si>
  <si>
    <t>MESA DE AYUDA JIRA</t>
  </si>
  <si>
    <t>LICENCIA MESA DE AYUDA JIRA</t>
  </si>
  <si>
    <t>HISPANIOLA TECHNOLOGY</t>
  </si>
  <si>
    <t>FACT NO.  375. CK 39824</t>
  </si>
  <si>
    <t>AGOSTO - DICIEMBRE 2024</t>
  </si>
  <si>
    <t>5  MESES</t>
  </si>
  <si>
    <t>X  5  =</t>
  </si>
  <si>
    <t>ENERO   -   JULIO 2025</t>
  </si>
  <si>
    <t>7  MESES</t>
  </si>
  <si>
    <t>X  7  =</t>
  </si>
  <si>
    <t>AMORTIZACIÓN SEPT/2024</t>
  </si>
  <si>
    <t>AMORTIZACIÓN OCT/2024</t>
  </si>
  <si>
    <t>AMORTIZACIÓN NOV/2024</t>
  </si>
  <si>
    <t>AMORTIZACIÓN DIC/2024</t>
  </si>
  <si>
    <t>AMORTIZACIÓN ENE/2025</t>
  </si>
  <si>
    <t>AMORTIZACIÓN MAR./2025</t>
  </si>
  <si>
    <t>AMORTIZACIÓN ABR./2025</t>
  </si>
  <si>
    <t>AMORTIZACIÓN MAY./2025</t>
  </si>
  <si>
    <t>AMORTIZACIÓN JUN./2025</t>
  </si>
  <si>
    <t>AMORTIZACIÓN JUL./2025</t>
  </si>
  <si>
    <t>LICENCIA ANTI DESASTRES</t>
  </si>
  <si>
    <t>FACT NO.  5631. CK 39845</t>
  </si>
  <si>
    <t>SEPTIEMBRE - DICIEMBRE 2024</t>
  </si>
  <si>
    <t>ENERO   -   AGOSTO 2024</t>
  </si>
  <si>
    <t>X  8  =</t>
  </si>
  <si>
    <t>AMORTIZACIÓN AGO/2024</t>
  </si>
  <si>
    <t>AMORTIZACIÓN AGO./2025</t>
  </si>
  <si>
    <t>Licencias ADOBE</t>
  </si>
  <si>
    <t>DESDE EL 1 OCTUBRE 2023 HASTA EL 30 SEPTIEMBRE 2024</t>
  </si>
  <si>
    <r>
      <t xml:space="preserve">SUPLIDOR DE SERVICIO: </t>
    </r>
    <r>
      <rPr>
        <b/>
        <sz val="12"/>
        <rFont val="Museo Sans 100"/>
        <family val="3"/>
      </rPr>
      <t>INTERCOMPUTER, SRL</t>
    </r>
  </si>
  <si>
    <t>SOFTWARE ADOBE</t>
  </si>
  <si>
    <t>Licencias de Software</t>
  </si>
  <si>
    <t>SO 3709</t>
  </si>
  <si>
    <t>INTER COMPUTER AL, SRL</t>
  </si>
  <si>
    <t>OC 6475</t>
  </si>
  <si>
    <t>Oct 2023</t>
  </si>
  <si>
    <t>OCTUBRE - DICIEMBRE 2023</t>
  </si>
  <si>
    <t>3 MESES</t>
  </si>
  <si>
    <t>X  4  =</t>
  </si>
  <si>
    <t>ENERO   -  SEPTIEMBRE 2024</t>
  </si>
  <si>
    <t>9  MESES</t>
  </si>
  <si>
    <t>X  9  =</t>
  </si>
  <si>
    <t>AMORTIZACIÓN OCT/2023</t>
  </si>
  <si>
    <t>AMORTIZACIÓN NOV/2023</t>
  </si>
  <si>
    <t>AMORTIZACIÓN DIC/2023</t>
  </si>
  <si>
    <t>AMORTIZACIÓN ENE/2024</t>
  </si>
  <si>
    <t>AMORTIZACIÓN FEB/2024</t>
  </si>
  <si>
    <t>AMORTIZACIÓN MAR./2024</t>
  </si>
  <si>
    <t>AMORTIZACIÓN ABR./2024</t>
  </si>
  <si>
    <t>AMORTIZACIÓN MAY./2024</t>
  </si>
  <si>
    <t>AMORTIZACIÓN JUN./2024</t>
  </si>
  <si>
    <t>AMORTIZACIÓN JUL./2024</t>
  </si>
  <si>
    <t>Balance</t>
  </si>
  <si>
    <t>Nota 6</t>
  </si>
  <si>
    <t>Dividendos por Participación en las Empresas Reformadas</t>
  </si>
  <si>
    <t>Detalles</t>
  </si>
  <si>
    <t>EGE Haina</t>
  </si>
  <si>
    <t>EGE Itabo</t>
  </si>
  <si>
    <t>Molinos de Ozama</t>
  </si>
  <si>
    <t>Nota 7</t>
  </si>
  <si>
    <t>Avances a Futuras Capitalizaciones</t>
  </si>
  <si>
    <t>Detalle Avances a Futuras Capitalizaciones</t>
  </si>
  <si>
    <t>CHEQUE No.</t>
  </si>
  <si>
    <t>MONTO RD$</t>
  </si>
  <si>
    <t>LA TABACALERA</t>
  </si>
  <si>
    <t>Total RD$</t>
  </si>
  <si>
    <t>Cuenta 1205</t>
  </si>
  <si>
    <t>TOTAL LA TABACALERA</t>
  </si>
  <si>
    <t>NC 2641</t>
  </si>
  <si>
    <t>NC 2642</t>
  </si>
  <si>
    <t>TOTAL EDEESTE</t>
  </si>
  <si>
    <t>GRAND TOTAL</t>
  </si>
  <si>
    <t>FONDO PATRIMONIAL DE LAS EMP. REFORMADAS</t>
  </si>
  <si>
    <t>SUCURSAL   01</t>
  </si>
  <si>
    <t>FECHA DESDE.</t>
  </si>
  <si>
    <t>FECHA HASTA.</t>
  </si>
  <si>
    <t>BALANCE INICIAL</t>
  </si>
  <si>
    <t>PROVEEDOR     003071     LA TABACALERA, S. A.</t>
  </si>
  <si>
    <t>TIPO MOVI</t>
  </si>
  <si>
    <t>CHEQUE</t>
  </si>
  <si>
    <t>SALDO</t>
  </si>
  <si>
    <t>DEBITO</t>
  </si>
  <si>
    <t>Débito</t>
  </si>
  <si>
    <t>Totales</t>
  </si>
  <si>
    <t>PROVEEDOR    003130   EDEESTE</t>
  </si>
  <si>
    <t>Transf.</t>
  </si>
  <si>
    <t>NOTA 8</t>
  </si>
  <si>
    <t>Mobiliarios y Equipos, Neto</t>
  </si>
  <si>
    <t>Mobiliario y equipos de oficina</t>
  </si>
  <si>
    <t>Armas de fuego</t>
  </si>
  <si>
    <t>Equipos de transporte</t>
  </si>
  <si>
    <t>Total Activos Tangibles</t>
  </si>
  <si>
    <t>Software</t>
  </si>
  <si>
    <t>Total Activos Intangibles</t>
  </si>
  <si>
    <t>Total General</t>
  </si>
  <si>
    <t>Saldo inicial</t>
  </si>
  <si>
    <t>Adiciones</t>
  </si>
  <si>
    <t>Ajustes</t>
  </si>
  <si>
    <t>Retiros</t>
  </si>
  <si>
    <t>Reclasificaciones</t>
  </si>
  <si>
    <t>Total costo de adquisición</t>
  </si>
  <si>
    <t>Depreciación acumulada</t>
  </si>
  <si>
    <t>Cargos del periodo</t>
  </si>
  <si>
    <t>Ajustes y reclasificación</t>
  </si>
  <si>
    <t>Total depreciación acumulada</t>
  </si>
  <si>
    <t>Total Mobiliarios y Equipos, Neto</t>
  </si>
  <si>
    <t>NOTA 9</t>
  </si>
  <si>
    <t xml:space="preserve">Cuentas por pagar </t>
  </si>
  <si>
    <t>ACUERDOS INSTITUCIONALES POR PAGAR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</si>
  <si>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</si>
  <si>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CECOMSA SRL</t>
  </si>
  <si>
    <t>RAMIREZ &amp; MOJICA ENVOY SRL</t>
  </si>
  <si>
    <t>CENTRO AUTOMOTRIZ REMESA</t>
  </si>
  <si>
    <t>FLOW, SRL</t>
  </si>
  <si>
    <t>CONST. Y SOPORTE ELECTRICO CSECP, SRL</t>
  </si>
  <si>
    <t>BOTDOM INGENIERIA, SRL</t>
  </si>
  <si>
    <t xml:space="preserve">SERVICIOS GENERALES POR PAGAR </t>
  </si>
  <si>
    <t>COMPAÑÍA DOMINICANA DE TELEFONOS</t>
  </si>
  <si>
    <t>AYUNTAMIENTO DEL DISTRITO NACIONAL</t>
  </si>
  <si>
    <t>FREILYN PEREZ DIAZ</t>
  </si>
  <si>
    <t>SANTIAGO AYBAR CAMPOS</t>
  </si>
  <si>
    <t>LEWIS MEDRANO</t>
  </si>
  <si>
    <t>JORGE MATEO CASTILLO</t>
  </si>
  <si>
    <t>MARINO ACOSTA</t>
  </si>
  <si>
    <t>JOHENNY MAÑON</t>
  </si>
  <si>
    <t xml:space="preserve">RUBEN ALMONTE </t>
  </si>
  <si>
    <t>WILIN MATEO MATEO</t>
  </si>
  <si>
    <t>JOSE MANUEL VALDES</t>
  </si>
  <si>
    <t>ESKIBEL SANCHEZ</t>
  </si>
  <si>
    <t>COLECTOR DE IMPUESTOS (Retenciones Proveedores ago 24)</t>
  </si>
  <si>
    <t>COLECTOR DE ITBIS (Retenciones Proveedores ago 24)</t>
  </si>
  <si>
    <t>ACUERDOS INTITUCIONALES POR PAGAR</t>
  </si>
  <si>
    <t>INFOTEP</t>
  </si>
  <si>
    <t>NOTA 10</t>
  </si>
  <si>
    <t>Cuentas por pagar Contratistas y Servicios y Honorarios</t>
  </si>
  <si>
    <t>CUENTAS POR PAGAR CONSTRUCCIONES DE INFRAESTRUCTURAS</t>
  </si>
  <si>
    <t>TOTAL CUENTAS POR PAGAR CONTRATISTAS</t>
  </si>
  <si>
    <t>LOURDES YNMACULADA DE OLEO VALENZUELA</t>
  </si>
  <si>
    <t>CESAR ANDRES PICHARDO FERMIN</t>
  </si>
  <si>
    <t>NOTA 11</t>
  </si>
  <si>
    <t>Salarios por pagar</t>
  </si>
  <si>
    <t>Gratificaciones y bonificaciones por pagar</t>
  </si>
  <si>
    <t>Contribución la Seguridad Social por pagar</t>
  </si>
  <si>
    <t>Vacaciones por pagar</t>
  </si>
  <si>
    <t>Regalía pascual por pagar</t>
  </si>
  <si>
    <t>Detalle de Salarios por pagar</t>
  </si>
  <si>
    <t>Compensación horas extras ene 2025</t>
  </si>
  <si>
    <t>Compensación almuerzo militares seguridad 2da quincena ene 2025</t>
  </si>
  <si>
    <t>Pago Dieta del Consejo Administrativo correspondiente a oct 2024</t>
  </si>
  <si>
    <t>Compensación almuerzo a militares ene 2025</t>
  </si>
  <si>
    <t>Gastos de representación presidente Fonper abril 2024</t>
  </si>
  <si>
    <t>Compensación almuerzo a empleados fijos ene 2025</t>
  </si>
  <si>
    <t>Cálculo de la Provisión de Gratificaciones y Bonificaciones</t>
  </si>
  <si>
    <t>Año 2025</t>
  </si>
  <si>
    <t>#</t>
  </si>
  <si>
    <t>Conceptos</t>
  </si>
  <si>
    <t>Nómina mensual</t>
  </si>
  <si>
    <t>Total provisión RD$</t>
  </si>
  <si>
    <t>Bono desempeño Fijos (1.0)</t>
  </si>
  <si>
    <t>Bonos a las secretarias</t>
  </si>
  <si>
    <t>Madres</t>
  </si>
  <si>
    <t>Padres</t>
  </si>
  <si>
    <t>Bono Aniversario (Fijos, Consejo, Militares) (1.0)</t>
  </si>
  <si>
    <t>Escolar</t>
  </si>
  <si>
    <t>Bono Navidad Fijos  (3.0)</t>
  </si>
  <si>
    <t>Bono Navidad Consejo  (3.0)</t>
  </si>
  <si>
    <t>Bono navidad militares (3)</t>
  </si>
  <si>
    <t>Total bonificación anual proyectada</t>
  </si>
  <si>
    <t>Entre 12 meses</t>
  </si>
  <si>
    <t xml:space="preserve">   /  12  =</t>
  </si>
  <si>
    <t>Cada mes, en el 2025 será de</t>
  </si>
  <si>
    <t>Provisión mensual</t>
  </si>
  <si>
    <t>Considerado en enero 25</t>
  </si>
  <si>
    <t>Ajuste pendiente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</si>
  <si>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</si>
  <si>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</si>
  <si>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</si>
  <si>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</si>
  <si>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</si>
  <si>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</si>
  <si>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</si>
  <si>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</si>
  <si>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</si>
  <si>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</si>
  <si>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</si>
  <si>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</si>
  <si>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  (Ajuste final 2024)</t>
  </si>
  <si>
    <t>Total acumulado</t>
  </si>
  <si>
    <t xml:space="preserve">CONTROL DE VACACIONES </t>
  </si>
  <si>
    <t>COLABORADORES AÑO 2025</t>
  </si>
  <si>
    <t>NOMBRE/APELLIDO</t>
  </si>
  <si>
    <t xml:space="preserve">DÍAS 
PENDIENTES </t>
  </si>
  <si>
    <t>SALARIO</t>
  </si>
  <si>
    <t>SALARIO PROMEDIO</t>
  </si>
  <si>
    <t>Dias 2025</t>
  </si>
  <si>
    <t xml:space="preserve">Total a Disfrutar </t>
  </si>
  <si>
    <t xml:space="preserve">Enero </t>
  </si>
  <si>
    <t>Diciembre</t>
  </si>
  <si>
    <t>Dias pendiente a disfrutar 2025</t>
  </si>
  <si>
    <t>Monto días pendientes</t>
  </si>
  <si>
    <t>Monto descontar por días tomados</t>
  </si>
  <si>
    <t>AIDA VICTORIA PARDILLA MARTINEZ</t>
  </si>
  <si>
    <t>ENCARGADA</t>
  </si>
  <si>
    <t>ALCE  ODELL CACERES LEREBOURS</t>
  </si>
  <si>
    <t>ADMINISTRADOR DE SERVICIOS TIC</t>
  </si>
  <si>
    <t>ANA ILDA NUÑEZ BATISTA</t>
  </si>
  <si>
    <t>ANALISTA DE GESTIÓN PATRIMONIAL II</t>
  </si>
  <si>
    <t>ANASTASIA ROSAURA   A AVILA UBRI</t>
  </si>
  <si>
    <t>ANALISTA</t>
  </si>
  <si>
    <t>CARLOS JOSE RIVAS GARCIA</t>
  </si>
  <si>
    <t xml:space="preserve">COORDINADOR </t>
  </si>
  <si>
    <t>CARLOS JULIO SUBERVI CARRASCO</t>
  </si>
  <si>
    <t>CARMEN JULIA PEREZ FERNANDEZ</t>
  </si>
  <si>
    <t>CONSERJE</t>
  </si>
  <si>
    <t>CELIA M CUEVAS JIMENEZ</t>
  </si>
  <si>
    <t>CLAUDIO ALBERTO MARTE MERCEDES</t>
  </si>
  <si>
    <t>DANIA RODRIGUEZ RODRIGUEZ</t>
  </si>
  <si>
    <t>DIANA J ROSARIO POLANCO</t>
  </si>
  <si>
    <t>DESIREE MARIN GARCIA</t>
  </si>
  <si>
    <t>COORDINADORA</t>
  </si>
  <si>
    <t>DIONICIO EMILIO GUERRERO PEREZ</t>
  </si>
  <si>
    <t xml:space="preserve">ANALISTA </t>
  </si>
  <si>
    <t>DOMINGO ALBERTO RODRIGUEZ</t>
  </si>
  <si>
    <t>CHOFER</t>
  </si>
  <si>
    <t>EDDY M DOMINGUEZ LINARES</t>
  </si>
  <si>
    <t>COORDINADOR</t>
  </si>
  <si>
    <t>EDGAR  MOISES DUME PEPEN</t>
  </si>
  <si>
    <t>ENC. SECCIÓN DE CORRESP. Y ARCH</t>
  </si>
  <si>
    <t>EDILI D RAMIREZ RODRIGUEZ</t>
  </si>
  <si>
    <t>AUXILIAR ADMINISTRATIVO</t>
  </si>
  <si>
    <t>EDWARD ALEXANDER AQUINO ALMONTE</t>
  </si>
  <si>
    <t>SOPORTE TECNICO</t>
  </si>
  <si>
    <t>EDWIN JOHANNY JIMENEZ</t>
  </si>
  <si>
    <t>ELIN ALBERTO PENA GERMAN</t>
  </si>
  <si>
    <t>ADMINISTRADOR DE OPERACIONES TIC</t>
  </si>
  <si>
    <t>ESKIBEL JAVIER SANCHEZ VIDAL</t>
  </si>
  <si>
    <t>EVANGELISTA EUGENIA PEREZ DE LOS SANTOS</t>
  </si>
  <si>
    <t>COORDINADOR (A) ADMINISTRATIVO</t>
  </si>
  <si>
    <t>FRANCIS GISELLE BUSSI INOA</t>
  </si>
  <si>
    <t>COORDINADOR (A) DE ARQUITECTURA</t>
  </si>
  <si>
    <t>FRANCISCA SANCHEZ DE LOS SANTOS</t>
  </si>
  <si>
    <t>FRANSER DESIREE SOLIS DE LUNA</t>
  </si>
  <si>
    <t>FREDDY JOSE PEREYRA  ALBERTO</t>
  </si>
  <si>
    <t>FREDDY RADHAMES RODRIGUEZ DIAZ</t>
  </si>
  <si>
    <t>FREILYN PEREZ</t>
  </si>
  <si>
    <t>TÉCNICO ADMINISTRATIVO</t>
  </si>
  <si>
    <t>GERMAINE D GAZON ROSARIO</t>
  </si>
  <si>
    <t>ILEANA SOLANYI MEDINA PERALTA</t>
  </si>
  <si>
    <t>MENSAJERA INTERNA</t>
  </si>
  <si>
    <t>ISMAEL VALENTIN PENA SANTOS</t>
  </si>
  <si>
    <t>MENSAJERO EXTERNO</t>
  </si>
  <si>
    <t>JESUS O SANCHEZ TRINIDAD</t>
  </si>
  <si>
    <t>ANALISTA INFORMÁTICO</t>
  </si>
  <si>
    <t>JORGE LUIS  MATEO CASTILLO</t>
  </si>
  <si>
    <t>JOSE A  ALMONTE MARTE</t>
  </si>
  <si>
    <t>JOSE E FLORENTINO RODRIGUEZ</t>
  </si>
  <si>
    <t>PRESIDENTE</t>
  </si>
  <si>
    <t>JOSE MANUEL VALDEZ</t>
  </si>
  <si>
    <t>SUPERVISOR DE TRANSPORTACIÓN</t>
  </si>
  <si>
    <t>JOSEFINA MERCEDES VEGA BATLLE</t>
  </si>
  <si>
    <t>VICE-PRESIDENTE</t>
  </si>
  <si>
    <t>JUAN SANTANA H</t>
  </si>
  <si>
    <t>LADY  MARGARET ESPINAL ROMERO</t>
  </si>
  <si>
    <t>RELACIONISTA PUBLICO</t>
  </si>
  <si>
    <t>LELIA MARCELL MENDOZA LORA</t>
  </si>
  <si>
    <t>LEON ALTAGRACIA GOMEZ DIAZ</t>
  </si>
  <si>
    <t>ASESOR</t>
  </si>
  <si>
    <t>LEWIS A MEDRANO MORLA</t>
  </si>
  <si>
    <t>TÉCNICO SERVICIOS GENERALES</t>
  </si>
  <si>
    <t>LICET IVANA BELTRE VALERA</t>
  </si>
  <si>
    <t>ASESOR LEGAL</t>
  </si>
  <si>
    <t>LISBET RODRIGUEZ GUZMAN</t>
  </si>
  <si>
    <t>LUIS ALFREDO FUCHU ARTILES</t>
  </si>
  <si>
    <t>LUIS ANTONIO MOQUETE PELLETIER</t>
  </si>
  <si>
    <t>MARLENY A MEDRANO RODRIGUEZ</t>
  </si>
  <si>
    <t>DIRECTORA</t>
  </si>
  <si>
    <t>MARTHA ARELYS BEATO ABREU</t>
  </si>
  <si>
    <t>MAXIMO A PERALTA MOREL</t>
  </si>
  <si>
    <t>MAYRUBI LAZARO VALENZUELA</t>
  </si>
  <si>
    <t>MARINO ACOSTA GUANTE</t>
  </si>
  <si>
    <t>MERCEDES IVELICES GUZMAN VALERIO</t>
  </si>
  <si>
    <t>MIGUEL ALFONSO DE LA ROSA  ARIAS</t>
  </si>
  <si>
    <t>NADIA ROSA MARIA BAEZ LOPEZ</t>
  </si>
  <si>
    <t>ABOGADO I</t>
  </si>
  <si>
    <t>NATHALI ROCIO RIVERA ORTIZ</t>
  </si>
  <si>
    <t>RECEPCIONISTA</t>
  </si>
  <si>
    <t>NICOLLE HARVEY PICHARDO</t>
  </si>
  <si>
    <t>NIKAURY ARACENA MEJIA</t>
  </si>
  <si>
    <t>NIVIA CLARIBEL QUEZADA  FELIZ DE PEÑA</t>
  </si>
  <si>
    <t>NYSA MARIA FERREIRA BALBI</t>
  </si>
  <si>
    <t>TECNICO DE RECURSOS HUMANOS</t>
  </si>
  <si>
    <t>OLIVER SORIANO OVIEDO</t>
  </si>
  <si>
    <t>INGENIERO DE ESTRUCTURA</t>
  </si>
  <si>
    <t>OMAR DE JESUS COHEN SANDER</t>
  </si>
  <si>
    <t>OSVALDO PEREZ PIMENTEL</t>
  </si>
  <si>
    <t>COORDINADOR (A) DE GESTION PATR</t>
  </si>
  <si>
    <t>PEDRO DANIEL ESQUEA MONTILLA</t>
  </si>
  <si>
    <t>RAFAEL EDUARDO RAMIREZ ISIDOR</t>
  </si>
  <si>
    <t>RAPHIEL RADNEY ABREU</t>
  </si>
  <si>
    <t>AUXILIAR</t>
  </si>
  <si>
    <t>RICHARD RAMON MEJIA MENDOZA</t>
  </si>
  <si>
    <t>AUXILIAR DE SUMINISTRO</t>
  </si>
  <si>
    <t>ROSA  ANTONIA PEREZ HEREDIA</t>
  </si>
  <si>
    <t>ROSSY LISVERY VOLQUEZ PEREZ</t>
  </si>
  <si>
    <t>RUBEN DARIO ALMONTE MATEO</t>
  </si>
  <si>
    <t>RUDDY LANI GARCIA  ALCANTARA</t>
  </si>
  <si>
    <t>SALVADOR YGNACIO RICOURT GOMEZ</t>
  </si>
  <si>
    <t>DIRECTOR</t>
  </si>
  <si>
    <t>SAMUEL JUNIOR ULLOA MARIANO</t>
  </si>
  <si>
    <t>SARITA MARTINEZ FROMETA</t>
  </si>
  <si>
    <t>SHANTAL MARIEL BAUTISTA PERREAUX</t>
  </si>
  <si>
    <t>SILVIO J PEREZ VALDEZ</t>
  </si>
  <si>
    <t>COORDINADOR (A) DE INGENIERIA</t>
  </si>
  <si>
    <t>SOMNE ALTAGRACIA BAEZ TRINIDAD</t>
  </si>
  <si>
    <t>TOMAS AUGUSTO MENDOZA TORRES</t>
  </si>
  <si>
    <t>ABOGADO III</t>
  </si>
  <si>
    <t>VERONICA POLANCO REYNOSO</t>
  </si>
  <si>
    <t>VICTOR M HILARIO LORA</t>
  </si>
  <si>
    <t>WINSTON POLANCO ROBLES</t>
  </si>
  <si>
    <t>YANCARLOS HERNANDEZ ENCARNACION</t>
  </si>
  <si>
    <t>YANIL STEFANY MEJIA PIMENTEL</t>
  </si>
  <si>
    <t xml:space="preserve"> / 12  = </t>
  </si>
  <si>
    <t>Ajuse</t>
  </si>
  <si>
    <t>Cálculo de la provisión de Regalía Navideña</t>
  </si>
  <si>
    <t xml:space="preserve">Militares </t>
  </si>
  <si>
    <t xml:space="preserve">Fijos </t>
  </si>
  <si>
    <t xml:space="preserve">Consejo  </t>
  </si>
  <si>
    <t>Dividido / 12 meses =</t>
  </si>
  <si>
    <t xml:space="preserve">Febrero </t>
  </si>
  <si>
    <t>Diciembre (ajuste)</t>
  </si>
  <si>
    <t>NOTA 12</t>
  </si>
  <si>
    <t>Deducciones y Retenciones por pagar</t>
  </si>
  <si>
    <t>Retención impuesto sobre la renta proveedores</t>
  </si>
  <si>
    <t>Retención impuesto sobre la renta empleados</t>
  </si>
  <si>
    <t>Retención ITBIS</t>
  </si>
  <si>
    <t>Retención CODIA</t>
  </si>
  <si>
    <t>Retención FOPETCONS</t>
  </si>
  <si>
    <t>GRUPO LUNYAN, SRL</t>
  </si>
  <si>
    <t>PLANTA FISICA PINERA SRL</t>
  </si>
  <si>
    <t>MANUEL MERCEDES ESCOTO</t>
  </si>
  <si>
    <t>Retención ISR a empleados</t>
  </si>
  <si>
    <t>MES DE JULIO - PENDIENTE</t>
  </si>
  <si>
    <t>MES DE SEPTIEMBRE</t>
  </si>
  <si>
    <t>Nota 13</t>
  </si>
  <si>
    <t>Otras Cuentas por pagar</t>
  </si>
  <si>
    <t>MEM-DERS - Diciembre 2024</t>
  </si>
  <si>
    <r>
      <t xml:space="preserve">INFOTEP - </t>
    </r>
    <r>
      <rPr>
        <i/>
        <sz val="11"/>
        <rFont val="Museo Sans 100"/>
        <family val="3"/>
      </rPr>
      <t>AVANCE 20% SIMULADORES D.</t>
    </r>
  </si>
  <si>
    <t>cambios pendientes en los anexos del sistema</t>
  </si>
  <si>
    <t>orden de las columnas</t>
  </si>
  <si>
    <t>separar el certificado del banco agricola de las inversion en accion</t>
  </si>
  <si>
    <t>cambiar inventario por almacen de suministros e inventario de suministros</t>
  </si>
  <si>
    <t>cambiar la numeración de las notas</t>
  </si>
  <si>
    <t>poner una columna para las notas</t>
  </si>
  <si>
    <t>crear nota del capital institucional</t>
  </si>
  <si>
    <t>cambiar contrato de construccion por avance a contratista</t>
  </si>
  <si>
    <t>cambiar nombre de las columnas mes actual mes anteriror variacion / acumulado mes actual acumulado mes anterior</t>
  </si>
  <si>
    <t>cambiar partidas por cobrar por cuentas por cobrar</t>
  </si>
  <si>
    <t>donde dice intereses por cobar banco agricola esta mal escrito</t>
  </si>
  <si>
    <t xml:space="preserve">total de activo por total total propieda planta y equipo neto </t>
  </si>
  <si>
    <t>cambiar cerificado banco agricola por deposito a plazos (banco agricola)</t>
  </si>
  <si>
    <t xml:space="preserve">buscar notas hecha en excel para referencia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</si>
</sst>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&quot;$&quot;#,##0.00_);[Red]\(&quot;$&quot;#,##0.00\)"/>
    <numFmt numFmtId="43" formatCode="_(* #,##0.00_);_(* \(#,##0.00\);_(* &quot;-&quot;??_);_(@_)"/>
    <numFmt numFmtId="164" formatCode="_-* #,##0.00_-;\-* #,##0.00_-;_-* &quot;-&quot;??_-;_-@_-"/>
    <numFmt numFmtId="165" formatCode="_-* #,##0.00_R_D_$_-;\-* #,##0.00_R_D_$_-;_-* &quot;-&quot;??_R_D_$_-;_-@_-"/>
    <numFmt numFmtId="166" formatCode="mmmm\ \-\ yyyy"/>
    <numFmt numFmtId="167" formatCode="_-* #,##0.00\ _P_t_s_-;\-* #,##0.00\ _P_t_s_-;_-* &quot;-&quot;??\ _P_t_s_-;_-@_-"/>
    <numFmt numFmtId="168" formatCode="_(* #,##0_);_(* \(#,##0\);_(* &quot;-&quot;??_);_(@_)"/>
    <numFmt numFmtId="169" formatCode="0.000000000"/>
    <numFmt numFmtId="170" formatCode="0.0000000000"/>
    <numFmt numFmtId="171" formatCode="0000\-00\-00"/>
    <numFmt numFmtId="172" formatCode="[$-409]d\-mmm\-yy;@"/>
    <numFmt numFmtId="173" formatCode="[$-409]dd\-mmm\-yy;@"/>
    <numFmt numFmtId="174" formatCode="_(* #,##0.000000_);_(* \(#,##0.000000\);_(* &quot;-&quot;??_);_(@_)"/>
  </numFmts>
  <fonts count="11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name val="Museo Sans 100"/>
      <family val="3"/>
    </font>
    <font>
      <sz val="12"/>
      <color rgb="FFFF0000"/>
      <name val="Museo Sans 100"/>
      <family val="3"/>
    </font>
    <font>
      <b/>
      <sz val="14"/>
      <name val="Museo Sans 100"/>
      <family val="3"/>
    </font>
    <font>
      <sz val="14"/>
      <name val="Museo Sans 100"/>
      <family val="3"/>
    </font>
    <font>
      <sz val="14"/>
      <color rgb="FFFF0000"/>
      <name val="Museo Sans 100"/>
      <family val="3"/>
    </font>
    <font>
      <b/>
      <sz val="14"/>
      <color theme="4" tint="-0.249977111117893"/>
      <name val="Museo Sans 100"/>
      <family val="3"/>
    </font>
    <font>
      <b/>
      <sz val="12"/>
      <name val="Museo Sans 100"/>
      <family val="3"/>
    </font>
    <font>
      <sz val="11"/>
      <color theme="1"/>
      <name val="Museo Sans 100"/>
      <family val="3"/>
    </font>
    <font>
      <sz val="10"/>
      <name val="Museo Sans 100"/>
      <family val="3"/>
    </font>
    <font>
      <sz val="12"/>
      <color theme="1"/>
      <name val="Museo Sans 100"/>
      <family val="3"/>
    </font>
    <font>
      <sz val="12"/>
      <color theme="2" tint="-0.499984740745262"/>
      <name val="Museo Sans 100"/>
      <family val="3"/>
    </font>
    <font>
      <b/>
      <sz val="12"/>
      <color theme="1"/>
      <name val="Museo Sans 100"/>
      <family val="3"/>
    </font>
    <font>
      <b/>
      <i/>
      <sz val="12"/>
      <name val="Museo Sans 100"/>
      <family val="3"/>
    </font>
    <font>
      <u val="singleAccounting"/>
      <sz val="12"/>
      <name val="Museo Sans 100"/>
      <family val="3"/>
    </font>
    <font>
      <b/>
      <u val="doubleAccounting"/>
      <sz val="12"/>
      <name val="Museo Sans 100"/>
      <family val="3"/>
    </font>
    <font>
      <u val="singleAccounting"/>
      <sz val="12"/>
      <color theme="1"/>
      <name val="Museo Sans 100"/>
      <family val="3"/>
    </font>
    <font>
      <b/>
      <u val="doubleAccounting"/>
      <sz val="12"/>
      <color theme="1"/>
      <name val="Museo Sans 100"/>
      <family val="3"/>
    </font>
    <font>
      <sz val="11"/>
      <name val="Museo Sans 100"/>
      <family val="3"/>
    </font>
    <font>
      <sz val="9"/>
      <name val="Museo Sans 100"/>
      <family val="3"/>
    </font>
    <font>
      <b/>
      <sz val="12"/>
      <color rgb="FFFF0000"/>
      <name val="Museo Sans 100"/>
      <family val="3"/>
    </font>
    <font>
      <u/>
      <sz val="12"/>
      <color theme="1"/>
      <name val="Museo Sans 100"/>
      <family val="3"/>
    </font>
    <font>
      <b/>
      <u val="double"/>
      <sz val="12"/>
      <name val="Museo Sans 100"/>
      <family val="3"/>
    </font>
    <font>
      <u val="doubleAccounting"/>
      <sz val="12"/>
      <color theme="1"/>
      <name val="Museo Sans 100"/>
      <family val="3"/>
    </font>
    <font>
      <b/>
      <sz val="14"/>
      <color rgb="FFFF0000"/>
      <name val="Museo Sans 100"/>
      <family val="3"/>
    </font>
    <font>
      <u val="singleAccounting"/>
      <sz val="12"/>
      <color rgb="FFFF0000"/>
      <name val="Museo Sans 100"/>
      <family val="3"/>
    </font>
    <font>
      <i/>
      <sz val="11"/>
      <name val="Museo Sans 100"/>
      <family val="3"/>
    </font>
    <font>
      <b/>
      <sz val="8"/>
      <name val="Museo Sans 100"/>
      <family val="3"/>
    </font>
    <font>
      <b/>
      <u/>
      <sz val="12"/>
      <name val="Museo Sans 100"/>
      <family val="3"/>
    </font>
    <font>
      <b/>
      <sz val="11"/>
      <name val="Museo Sans 100"/>
      <family val="3"/>
    </font>
    <font>
      <b/>
      <i/>
      <sz val="12"/>
      <color rgb="FFFF0000"/>
      <name val="Museo Sans 100"/>
      <family val="3"/>
    </font>
    <font>
      <u/>
      <sz val="12"/>
      <color rgb="FFFF0000"/>
      <name val="Museo Sans 100"/>
      <family val="3"/>
    </font>
    <font>
      <b/>
      <u/>
      <sz val="12"/>
      <color theme="1"/>
      <name val="Museo Sans 100"/>
      <family val="3"/>
    </font>
    <font>
      <u/>
      <sz val="10"/>
      <color theme="10"/>
      <name val="Arial"/>
      <family val="2"/>
    </font>
    <font>
      <sz val="11"/>
      <name val="Aptos"/>
      <family val="2"/>
    </font>
    <font>
      <u/>
      <sz val="12"/>
      <name val="Museo Sans 100"/>
      <family val="3"/>
    </font>
    <font>
      <b/>
      <u val="singleAccounting"/>
      <sz val="12"/>
      <color theme="1"/>
      <name val="Museo Sans 100"/>
      <family val="3"/>
    </font>
    <font>
      <sz val="8"/>
      <name val="Museo Sans 100"/>
      <family val="3"/>
    </font>
    <font>
      <b/>
      <sz val="11"/>
      <color rgb="FFFF0000"/>
      <name val="Museo Sans 100"/>
      <family val="3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 val="doubleAccounting"/>
      <sz val="11"/>
      <color theme="1"/>
      <name val="Museo Sans 100"/>
      <family val="3"/>
    </font>
    <font>
      <b/>
      <u/>
      <sz val="11"/>
      <name val="Museo Sans 100"/>
      <family val="3"/>
    </font>
    <font>
      <i/>
      <u/>
      <sz val="8"/>
      <color rgb="FFFF0000"/>
      <name val="Museo Sans 100"/>
      <family val="3"/>
    </font>
    <font>
      <u/>
      <sz val="11"/>
      <name val="Museo Sans 100"/>
      <family val="3"/>
    </font>
    <font>
      <b/>
      <u val="double"/>
      <sz val="11"/>
      <name val="Museo Sans 100"/>
      <family val="3"/>
    </font>
    <font>
      <b/>
      <sz val="10"/>
      <name val="Museo Sans 100"/>
      <family val="3"/>
    </font>
    <font>
      <sz val="11"/>
      <color indexed="8"/>
      <name val="Calibri"/>
      <family val="2"/>
      <scheme val="minor"/>
    </font>
    <font>
      <sz val="12"/>
      <color rgb="FF000000"/>
      <name val="Museo Sans 100"/>
      <family val="3"/>
    </font>
    <font>
      <sz val="14"/>
      <color rgb="FF000000"/>
      <name val="Museo Sans 100"/>
      <family val="3"/>
    </font>
    <font>
      <u val="singleAccounting"/>
      <sz val="14"/>
      <color rgb="FF000000"/>
      <name val="Museo Sans 100"/>
      <family val="3"/>
    </font>
    <font>
      <b/>
      <sz val="14"/>
      <color rgb="FF000000"/>
      <name val="Museo Sans 100"/>
      <family val="3"/>
    </font>
    <font>
      <u val="singleAccounting"/>
      <sz val="14"/>
      <name val="Museo Sans 100"/>
      <family val="3"/>
    </font>
    <font>
      <b/>
      <u val="singleAccounting"/>
      <sz val="14"/>
      <name val="Museo Sans 100"/>
      <family val="3"/>
    </font>
    <font>
      <b/>
      <u val="doubleAccounting"/>
      <sz val="14"/>
      <name val="Museo Sans 100"/>
      <family val="3"/>
    </font>
    <font>
      <i/>
      <sz val="12"/>
      <name val="Museo Sans 500"/>
      <family val="3"/>
    </font>
    <font>
      <sz val="12"/>
      <name val="Museo Sans 500"/>
      <family val="3"/>
    </font>
    <font>
      <b/>
      <sz val="12"/>
      <color indexed="17"/>
      <name val="Museo Sans 500"/>
      <family val="3"/>
    </font>
    <font>
      <u val="singleAccounting"/>
      <sz val="12"/>
      <name val="Museo Sans 500"/>
      <family val="3"/>
    </font>
    <font>
      <sz val="12"/>
      <name val="Arial"/>
      <family val="2"/>
    </font>
    <font>
      <b/>
      <sz val="10"/>
      <name val="Arial"/>
      <family val="2"/>
    </font>
    <font>
      <sz val="12"/>
      <color rgb="FFFF0000"/>
      <name val="Arial"/>
      <family val="2"/>
    </font>
    <font>
      <b/>
      <sz val="14"/>
      <color rgb="FFFF0000"/>
      <name val="Arial"/>
      <family val="2"/>
    </font>
    <font>
      <b/>
      <sz val="16"/>
      <name val="Arial"/>
      <family val="2"/>
    </font>
    <font>
      <b/>
      <sz val="12"/>
      <color rgb="FF0070C0"/>
      <name val="Museo Sans 100"/>
      <family val="3"/>
    </font>
    <font>
      <sz val="14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C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20">
    <xf numFmtId="0" fontId="0" fillId="0" borderId="0"/>
    <xf numFmtId="43" fontId="4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43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71" fontId="42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7" fillId="2" borderId="0" applyNumberFormat="0" applyBorder="0" applyAlignment="0" applyProtection="0"/>
    <xf numFmtId="0" fontId="47" fillId="2" borderId="0" applyNumberFormat="0" applyBorder="0" applyAlignment="0" applyProtection="0"/>
    <xf numFmtId="0" fontId="47" fillId="2" borderId="0" applyNumberFormat="0" applyBorder="0" applyAlignment="0" applyProtection="0"/>
    <xf numFmtId="0" fontId="47" fillId="2" borderId="0" applyNumberFormat="0" applyBorder="0" applyAlignment="0" applyProtection="0"/>
    <xf numFmtId="0" fontId="46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5" fillId="0" borderId="0"/>
    <xf numFmtId="0" fontId="42" fillId="0" borderId="0"/>
    <xf numFmtId="0" fontId="44" fillId="3" borderId="31" applyNumberFormat="0" applyFont="0" applyAlignment="0" applyProtection="0"/>
    <xf numFmtId="0" fontId="46" fillId="3" borderId="31" applyNumberFormat="0" applyFont="0" applyAlignment="0" applyProtection="0"/>
    <xf numFmtId="9" fontId="46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32" applyNumberFormat="0" applyFill="0" applyAlignment="0" applyProtection="0"/>
    <xf numFmtId="0" fontId="41" fillId="0" borderId="0"/>
    <xf numFmtId="43" fontId="41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39" fillId="0" borderId="0"/>
    <xf numFmtId="43" fontId="39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  <xf numFmtId="0" fontId="37" fillId="0" borderId="0"/>
    <xf numFmtId="9" fontId="50" fillId="0" borderId="0" applyFont="0" applyFill="0" applyBorder="0" applyAlignment="0" applyProtection="0"/>
    <xf numFmtId="0" fontId="36" fillId="0" borderId="0"/>
    <xf numFmtId="43" fontId="36" fillId="0" borderId="0" applyFont="0" applyFill="0" applyBorder="0" applyAlignment="0" applyProtection="0"/>
    <xf numFmtId="0" fontId="42" fillId="0" borderId="0"/>
    <xf numFmtId="43" fontId="42" fillId="0" borderId="0" applyFont="0" applyFill="0" applyBorder="0" applyAlignment="0" applyProtection="0"/>
    <xf numFmtId="4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0" fontId="47" fillId="2" borderId="0" applyNumberFormat="0" applyBorder="0" applyAlignment="0" applyProtection="0"/>
    <xf numFmtId="0" fontId="36" fillId="0" borderId="0"/>
    <xf numFmtId="0" fontId="36" fillId="3" borderId="31" applyNumberFormat="0" applyFont="0" applyAlignment="0" applyProtection="0"/>
    <xf numFmtId="9" fontId="36" fillId="0" borderId="0" applyFont="0" applyFill="0" applyBorder="0" applyAlignment="0" applyProtection="0"/>
    <xf numFmtId="0" fontId="36" fillId="0" borderId="0"/>
    <xf numFmtId="43" fontId="36" fillId="0" borderId="0" applyFont="0" applyFill="0" applyBorder="0" applyAlignment="0" applyProtection="0"/>
    <xf numFmtId="0" fontId="36" fillId="0" borderId="0"/>
    <xf numFmtId="43" fontId="36" fillId="0" borderId="0" applyFont="0" applyFill="0" applyBorder="0" applyAlignment="0" applyProtection="0"/>
    <xf numFmtId="0" fontId="36" fillId="0" borderId="0"/>
    <xf numFmtId="43" fontId="36" fillId="0" borderId="0" applyFont="0" applyFill="0" applyBorder="0" applyAlignment="0" applyProtection="0"/>
    <xf numFmtId="0" fontId="36" fillId="0" borderId="0"/>
    <xf numFmtId="43" fontId="36" fillId="0" borderId="0" applyFont="0" applyFill="0" applyBorder="0" applyAlignment="0" applyProtection="0"/>
    <xf numFmtId="0" fontId="36" fillId="0" borderId="0"/>
    <xf numFmtId="9" fontId="42" fillId="0" borderId="0" applyFont="0" applyFill="0" applyBorder="0" applyAlignment="0" applyProtection="0"/>
    <xf numFmtId="0" fontId="35" fillId="0" borderId="0"/>
    <xf numFmtId="43" fontId="35" fillId="0" borderId="0" applyFont="0" applyFill="0" applyBorder="0" applyAlignment="0" applyProtection="0"/>
    <xf numFmtId="0" fontId="34" fillId="0" borderId="0"/>
    <xf numFmtId="0" fontId="33" fillId="0" borderId="0"/>
    <xf numFmtId="0" fontId="32" fillId="0" borderId="0"/>
    <xf numFmtId="0" fontId="31" fillId="0" borderId="0"/>
    <xf numFmtId="0" fontId="84" fillId="0" borderId="0" applyNumberFormat="0" applyFill="0" applyBorder="0" applyAlignment="0" applyProtection="0"/>
    <xf numFmtId="0" fontId="30" fillId="0" borderId="0"/>
    <xf numFmtId="0" fontId="29" fillId="0" borderId="0"/>
    <xf numFmtId="0" fontId="28" fillId="0" borderId="0"/>
    <xf numFmtId="43" fontId="28" fillId="0" borderId="0" applyFont="0" applyFill="0" applyBorder="0" applyAlignment="0" applyProtection="0"/>
    <xf numFmtId="0" fontId="27" fillId="0" borderId="0"/>
    <xf numFmtId="0" fontId="26" fillId="0" borderId="0"/>
    <xf numFmtId="0" fontId="25" fillId="0" borderId="0"/>
    <xf numFmtId="0" fontId="24" fillId="0" borderId="0"/>
    <xf numFmtId="43" fontId="24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1" fillId="0" borderId="0"/>
    <xf numFmtId="0" fontId="20" fillId="0" borderId="0"/>
    <xf numFmtId="0" fontId="19" fillId="0" borderId="0"/>
    <xf numFmtId="0" fontId="18" fillId="0" borderId="0"/>
    <xf numFmtId="43" fontId="18" fillId="0" borderId="0" applyFont="0" applyFill="0" applyBorder="0" applyAlignment="0" applyProtection="0"/>
    <xf numFmtId="0" fontId="17" fillId="0" borderId="0"/>
    <xf numFmtId="0" fontId="16" fillId="0" borderId="0"/>
    <xf numFmtId="43" fontId="16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4" fillId="0" borderId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98" fillId="0" borderId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588">
    <xf numFmtId="0" fontId="0" fillId="0" borderId="0" xfId="0"/>
    <xf numFmtId="0" fontId="52" fillId="0" borderId="0" xfId="0" applyFont="1"/>
    <xf numFmtId="43" fontId="52" fillId="0" borderId="0" xfId="4" applyFont="1"/>
    <xf numFmtId="0" fontId="53" fillId="0" borderId="0" xfId="0" applyFont="1"/>
    <xf numFmtId="0" fontId="54" fillId="0" borderId="0" xfId="0" applyFont="1" applyAlignment="1">
      <alignment horizontal="center"/>
    </xf>
    <xf numFmtId="43" fontId="55" fillId="0" borderId="0" xfId="4" applyFont="1" applyFill="1"/>
    <xf numFmtId="0" fontId="56" fillId="0" borderId="0" xfId="0" applyFont="1"/>
    <xf numFmtId="0" fontId="55" fillId="0" borderId="0" xfId="0" applyFont="1"/>
    <xf numFmtId="14" fontId="55" fillId="0" borderId="0" xfId="0" applyNumberFormat="1" applyFont="1"/>
    <xf numFmtId="166" fontId="55" fillId="0" borderId="0" xfId="0" applyNumberFormat="1" applyFont="1" applyAlignment="1" applyProtection="1">
      <alignment horizontal="center"/>
      <protection locked="0"/>
    </xf>
    <xf numFmtId="166" fontId="55" fillId="0" borderId="0" xfId="0" applyNumberFormat="1" applyFont="1" applyAlignment="1">
      <alignment horizontal="center"/>
    </xf>
    <xf numFmtId="43" fontId="55" fillId="0" borderId="0" xfId="4" applyFont="1"/>
    <xf numFmtId="0" fontId="55" fillId="0" borderId="0" xfId="0" applyFont="1" applyAlignment="1">
      <alignment vertical="center"/>
    </xf>
    <xf numFmtId="43" fontId="54" fillId="0" borderId="13" xfId="4" applyFont="1" applyBorder="1" applyAlignment="1">
      <alignment horizontal="center" vertical="center" wrapText="1"/>
    </xf>
    <xf numFmtId="43" fontId="55" fillId="0" borderId="0" xfId="4" applyFont="1" applyAlignment="1">
      <alignment vertical="center"/>
    </xf>
    <xf numFmtId="0" fontId="58" fillId="0" borderId="0" xfId="0" applyFont="1"/>
    <xf numFmtId="43" fontId="52" fillId="0" borderId="0" xfId="4" applyFont="1" applyAlignment="1"/>
    <xf numFmtId="0" fontId="52" fillId="0" borderId="0" xfId="0" applyFont="1" applyAlignment="1">
      <alignment horizontal="center"/>
    </xf>
    <xf numFmtId="43" fontId="52" fillId="0" borderId="0" xfId="0" applyNumberFormat="1" applyFont="1"/>
    <xf numFmtId="43" fontId="53" fillId="0" borderId="0" xfId="0" applyNumberFormat="1" applyFont="1"/>
    <xf numFmtId="43" fontId="58" fillId="0" borderId="0" xfId="4" applyFont="1" applyAlignment="1"/>
    <xf numFmtId="43" fontId="58" fillId="0" borderId="7" xfId="4" applyFont="1" applyBorder="1" applyAlignment="1"/>
    <xf numFmtId="0" fontId="52" fillId="0" borderId="0" xfId="0" applyFont="1" applyProtection="1">
      <protection locked="0"/>
    </xf>
    <xf numFmtId="43" fontId="52" fillId="0" borderId="0" xfId="4" applyFont="1" applyAlignment="1">
      <alignment horizontal="center"/>
    </xf>
    <xf numFmtId="170" fontId="52" fillId="0" borderId="0" xfId="0" applyNumberFormat="1" applyFont="1"/>
    <xf numFmtId="168" fontId="52" fillId="0" borderId="0" xfId="4" applyNumberFormat="1" applyFont="1"/>
    <xf numFmtId="43" fontId="53" fillId="0" borderId="0" xfId="4" applyFont="1"/>
    <xf numFmtId="169" fontId="52" fillId="0" borderId="0" xfId="0" applyNumberFormat="1" applyFont="1"/>
    <xf numFmtId="4" fontId="52" fillId="0" borderId="0" xfId="0" applyNumberFormat="1" applyFont="1"/>
    <xf numFmtId="0" fontId="52" fillId="0" borderId="0" xfId="0" applyFont="1" applyAlignment="1">
      <alignment vertical="top"/>
    </xf>
    <xf numFmtId="43" fontId="52" fillId="0" borderId="0" xfId="4" applyFont="1" applyAlignment="1">
      <alignment vertical="top"/>
    </xf>
    <xf numFmtId="0" fontId="57" fillId="0" borderId="0" xfId="0" applyFont="1"/>
    <xf numFmtId="49" fontId="54" fillId="0" borderId="0" xfId="0" applyNumberFormat="1" applyFont="1" applyProtection="1">
      <protection locked="0"/>
    </xf>
    <xf numFmtId="166" fontId="55" fillId="0" borderId="0" xfId="0" applyNumberFormat="1" applyFont="1" applyProtection="1">
      <protection locked="0"/>
    </xf>
    <xf numFmtId="43" fontId="55" fillId="0" borderId="0" xfId="0" applyNumberFormat="1" applyFont="1"/>
    <xf numFmtId="43" fontId="55" fillId="0" borderId="0" xfId="4" applyFont="1" applyAlignment="1"/>
    <xf numFmtId="43" fontId="58" fillId="0" borderId="13" xfId="4" applyFont="1" applyBorder="1" applyAlignment="1">
      <alignment horizontal="center" vertical="center" wrapText="1"/>
    </xf>
    <xf numFmtId="43" fontId="52" fillId="0" borderId="0" xfId="4" applyFont="1" applyFill="1" applyAlignment="1"/>
    <xf numFmtId="43" fontId="52" fillId="0" borderId="0" xfId="4" applyFont="1" applyFill="1" applyBorder="1" applyAlignment="1"/>
    <xf numFmtId="0" fontId="58" fillId="0" borderId="0" xfId="0" applyFont="1" applyAlignment="1">
      <alignment horizontal="left"/>
    </xf>
    <xf numFmtId="43" fontId="62" fillId="0" borderId="0" xfId="4" applyFont="1" applyAlignment="1"/>
    <xf numFmtId="0" fontId="52" fillId="0" borderId="0" xfId="0" applyFont="1" applyAlignment="1" applyProtection="1">
      <alignment vertical="top"/>
      <protection locked="0"/>
    </xf>
    <xf numFmtId="43" fontId="52" fillId="0" borderId="0" xfId="4" applyFont="1" applyAlignment="1">
      <alignment horizontal="center" vertical="top"/>
    </xf>
    <xf numFmtId="0" fontId="61" fillId="0" borderId="0" xfId="18" applyFont="1"/>
    <xf numFmtId="0" fontId="61" fillId="0" borderId="0" xfId="18" applyFont="1" applyAlignment="1">
      <alignment horizontal="center"/>
    </xf>
    <xf numFmtId="43" fontId="61" fillId="0" borderId="0" xfId="4" applyFont="1" applyFill="1"/>
    <xf numFmtId="0" fontId="54" fillId="0" borderId="0" xfId="0" applyFont="1"/>
    <xf numFmtId="0" fontId="58" fillId="0" borderId="0" xfId="0" applyFont="1" applyAlignment="1">
      <alignment horizontal="center"/>
    </xf>
    <xf numFmtId="43" fontId="58" fillId="0" borderId="0" xfId="4" applyFont="1" applyFill="1"/>
    <xf numFmtId="43" fontId="52" fillId="0" borderId="0" xfId="4" applyFont="1" applyFill="1"/>
    <xf numFmtId="43" fontId="58" fillId="0" borderId="0" xfId="4" applyFont="1"/>
    <xf numFmtId="43" fontId="61" fillId="0" borderId="0" xfId="6" applyFont="1"/>
    <xf numFmtId="43" fontId="52" fillId="0" borderId="0" xfId="4" applyFont="1" applyFill="1" applyAlignment="1">
      <alignment horizontal="center"/>
    </xf>
    <xf numFmtId="43" fontId="61" fillId="0" borderId="0" xfId="4" applyFont="1"/>
    <xf numFmtId="43" fontId="58" fillId="0" borderId="0" xfId="4" applyFont="1" applyFill="1" applyBorder="1"/>
    <xf numFmtId="43" fontId="52" fillId="0" borderId="0" xfId="4" applyFont="1" applyBorder="1"/>
    <xf numFmtId="0" fontId="58" fillId="0" borderId="0" xfId="0" applyFont="1" applyAlignment="1">
      <alignment wrapText="1"/>
    </xf>
    <xf numFmtId="0" fontId="58" fillId="0" borderId="0" xfId="0" applyFont="1" applyAlignment="1">
      <alignment horizontal="center" wrapText="1"/>
    </xf>
    <xf numFmtId="168" fontId="52" fillId="0" borderId="0" xfId="4" applyNumberFormat="1" applyFont="1" applyBorder="1"/>
    <xf numFmtId="0" fontId="52" fillId="0" borderId="4" xfId="0" applyFont="1" applyBorder="1"/>
    <xf numFmtId="0" fontId="52" fillId="0" borderId="1" xfId="0" applyFont="1" applyBorder="1"/>
    <xf numFmtId="0" fontId="58" fillId="0" borderId="1" xfId="0" applyFont="1" applyBorder="1"/>
    <xf numFmtId="164" fontId="61" fillId="0" borderId="0" xfId="7" applyFont="1"/>
    <xf numFmtId="43" fontId="63" fillId="0" borderId="0" xfId="4" applyFont="1"/>
    <xf numFmtId="43" fontId="52" fillId="0" borderId="0" xfId="6" applyFont="1"/>
    <xf numFmtId="0" fontId="61" fillId="0" borderId="0" xfId="0" applyFont="1"/>
    <xf numFmtId="43" fontId="58" fillId="0" borderId="0" xfId="4" applyFont="1" applyFill="1" applyAlignment="1"/>
    <xf numFmtId="172" fontId="58" fillId="0" borderId="0" xfId="0" applyNumberFormat="1" applyFont="1" applyAlignment="1">
      <alignment horizontal="center"/>
    </xf>
    <xf numFmtId="14" fontId="58" fillId="0" borderId="0" xfId="0" applyNumberFormat="1" applyFont="1" applyAlignment="1">
      <alignment horizontal="center"/>
    </xf>
    <xf numFmtId="43" fontId="58" fillId="0" borderId="0" xfId="4" applyFont="1" applyFill="1" applyAlignment="1">
      <alignment horizontal="center"/>
    </xf>
    <xf numFmtId="0" fontId="58" fillId="4" borderId="5" xfId="0" applyFont="1" applyFill="1" applyBorder="1" applyAlignment="1">
      <alignment horizontal="center"/>
    </xf>
    <xf numFmtId="0" fontId="58" fillId="4" borderId="12" xfId="0" applyFont="1" applyFill="1" applyBorder="1" applyAlignment="1">
      <alignment horizontal="center"/>
    </xf>
    <xf numFmtId="0" fontId="58" fillId="4" borderId="6" xfId="0" applyFont="1" applyFill="1" applyBorder="1" applyAlignment="1">
      <alignment horizontal="center"/>
    </xf>
    <xf numFmtId="0" fontId="52" fillId="0" borderId="10" xfId="0" applyFont="1" applyBorder="1"/>
    <xf numFmtId="43" fontId="52" fillId="0" borderId="8" xfId="4" applyFont="1" applyBorder="1"/>
    <xf numFmtId="0" fontId="52" fillId="0" borderId="11" xfId="0" applyFont="1" applyBorder="1"/>
    <xf numFmtId="0" fontId="52" fillId="0" borderId="13" xfId="0" applyFont="1" applyBorder="1"/>
    <xf numFmtId="43" fontId="52" fillId="0" borderId="9" xfId="4" applyFont="1" applyBorder="1"/>
    <xf numFmtId="43" fontId="52" fillId="0" borderId="13" xfId="4" applyFont="1" applyBorder="1"/>
    <xf numFmtId="43" fontId="65" fillId="0" borderId="9" xfId="4" applyFont="1" applyBorder="1"/>
    <xf numFmtId="0" fontId="58" fillId="0" borderId="11" xfId="0" applyFont="1" applyBorder="1"/>
    <xf numFmtId="0" fontId="58" fillId="0" borderId="13" xfId="0" applyFont="1" applyBorder="1"/>
    <xf numFmtId="43" fontId="66" fillId="0" borderId="9" xfId="4" applyFont="1" applyBorder="1"/>
    <xf numFmtId="0" fontId="52" fillId="0" borderId="14" xfId="0" applyFont="1" applyBorder="1"/>
    <xf numFmtId="0" fontId="52" fillId="0" borderId="15" xfId="0" applyFont="1" applyBorder="1"/>
    <xf numFmtId="0" fontId="52" fillId="0" borderId="16" xfId="0" applyFont="1" applyBorder="1"/>
    <xf numFmtId="43" fontId="59" fillId="0" borderId="0" xfId="4" applyFont="1"/>
    <xf numFmtId="43" fontId="52" fillId="0" borderId="0" xfId="4" applyFont="1" applyFill="1" applyBorder="1"/>
    <xf numFmtId="0" fontId="61" fillId="0" borderId="11" xfId="0" applyFont="1" applyBorder="1"/>
    <xf numFmtId="43" fontId="52" fillId="0" borderId="2" xfId="4" applyFont="1" applyBorder="1"/>
    <xf numFmtId="43" fontId="66" fillId="0" borderId="2" xfId="4" applyFont="1" applyBorder="1"/>
    <xf numFmtId="43" fontId="58" fillId="0" borderId="2" xfId="4" applyFont="1" applyBorder="1"/>
    <xf numFmtId="43" fontId="66" fillId="0" borderId="0" xfId="4" applyFont="1" applyBorder="1"/>
    <xf numFmtId="0" fontId="58" fillId="0" borderId="14" xfId="0" applyFont="1" applyBorder="1"/>
    <xf numFmtId="43" fontId="58" fillId="0" borderId="17" xfId="4" applyFont="1" applyBorder="1"/>
    <xf numFmtId="43" fontId="58" fillId="0" borderId="0" xfId="4" applyFont="1" applyBorder="1"/>
    <xf numFmtId="43" fontId="53" fillId="0" borderId="0" xfId="4" applyFont="1" applyAlignment="1">
      <alignment horizontal="center"/>
    </xf>
    <xf numFmtId="0" fontId="59" fillId="0" borderId="0" xfId="18" applyFont="1"/>
    <xf numFmtId="43" fontId="65" fillId="0" borderId="0" xfId="4" applyFont="1"/>
    <xf numFmtId="172" fontId="58" fillId="0" borderId="0" xfId="0" applyNumberFormat="1" applyFont="1"/>
    <xf numFmtId="43" fontId="61" fillId="0" borderId="10" xfId="6" applyFont="1" applyBorder="1"/>
    <xf numFmtId="43" fontId="61" fillId="0" borderId="8" xfId="6" applyFont="1" applyBorder="1"/>
    <xf numFmtId="43" fontId="61" fillId="0" borderId="11" xfId="6" applyFont="1" applyBorder="1"/>
    <xf numFmtId="43" fontId="61" fillId="0" borderId="9" xfId="6" applyFont="1" applyBorder="1"/>
    <xf numFmtId="43" fontId="67" fillId="0" borderId="9" xfId="6" applyFont="1" applyBorder="1"/>
    <xf numFmtId="43" fontId="63" fillId="0" borderId="11" xfId="6" applyFont="1" applyBorder="1"/>
    <xf numFmtId="43" fontId="68" fillId="0" borderId="9" xfId="6" applyFont="1" applyBorder="1"/>
    <xf numFmtId="43" fontId="61" fillId="0" borderId="14" xfId="6" applyFont="1" applyBorder="1"/>
    <xf numFmtId="43" fontId="61" fillId="0" borderId="16" xfId="6" applyFont="1" applyBorder="1"/>
    <xf numFmtId="0" fontId="58" fillId="4" borderId="19" xfId="0" applyFont="1" applyFill="1" applyBorder="1" applyAlignment="1">
      <alignment horizontal="center"/>
    </xf>
    <xf numFmtId="0" fontId="58" fillId="4" borderId="18" xfId="0" applyFont="1" applyFill="1" applyBorder="1" applyAlignment="1">
      <alignment horizontal="center"/>
    </xf>
    <xf numFmtId="0" fontId="58" fillId="4" borderId="17" xfId="0" applyFont="1" applyFill="1" applyBorder="1" applyAlignment="1">
      <alignment horizontal="center"/>
    </xf>
    <xf numFmtId="0" fontId="58" fillId="4" borderId="16" xfId="0" applyFont="1" applyFill="1" applyBorder="1" applyAlignment="1">
      <alignment horizontal="center"/>
    </xf>
    <xf numFmtId="43" fontId="52" fillId="0" borderId="4" xfId="4" applyFont="1" applyBorder="1"/>
    <xf numFmtId="4" fontId="53" fillId="0" borderId="0" xfId="0" applyNumberFormat="1" applyFont="1"/>
    <xf numFmtId="0" fontId="52" fillId="0" borderId="2" xfId="0" applyFont="1" applyBorder="1"/>
    <xf numFmtId="0" fontId="71" fillId="6" borderId="0" xfId="0" applyFont="1" applyFill="1"/>
    <xf numFmtId="43" fontId="71" fillId="0" borderId="0" xfId="4" applyFont="1"/>
    <xf numFmtId="43" fontId="65" fillId="0" borderId="2" xfId="4" applyFont="1" applyBorder="1"/>
    <xf numFmtId="0" fontId="69" fillId="0" borderId="0" xfId="0" applyFont="1"/>
    <xf numFmtId="0" fontId="63" fillId="4" borderId="5" xfId="0" applyFont="1" applyFill="1" applyBorder="1" applyAlignment="1">
      <alignment horizontal="center"/>
    </xf>
    <xf numFmtId="0" fontId="63" fillId="4" borderId="12" xfId="0" applyFont="1" applyFill="1" applyBorder="1" applyAlignment="1">
      <alignment horizontal="center"/>
    </xf>
    <xf numFmtId="14" fontId="52" fillId="0" borderId="4" xfId="0" applyNumberFormat="1" applyFont="1" applyBorder="1" applyAlignment="1">
      <alignment horizontal="center"/>
    </xf>
    <xf numFmtId="0" fontId="52" fillId="0" borderId="4" xfId="0" applyFont="1" applyBorder="1" applyAlignment="1">
      <alignment horizontal="center"/>
    </xf>
    <xf numFmtId="14" fontId="52" fillId="0" borderId="2" xfId="0" applyNumberFormat="1" applyFont="1" applyBorder="1" applyAlignment="1">
      <alignment horizontal="center"/>
    </xf>
    <xf numFmtId="0" fontId="52" fillId="0" borderId="2" xfId="0" applyFont="1" applyBorder="1" applyAlignment="1">
      <alignment horizontal="center"/>
    </xf>
    <xf numFmtId="43" fontId="69" fillId="0" borderId="0" xfId="0" applyNumberFormat="1" applyFont="1"/>
    <xf numFmtId="0" fontId="58" fillId="0" borderId="2" xfId="0" applyFont="1" applyBorder="1"/>
    <xf numFmtId="43" fontId="68" fillId="0" borderId="2" xfId="4" applyFont="1" applyBorder="1"/>
    <xf numFmtId="4" fontId="69" fillId="0" borderId="0" xfId="0" applyNumberFormat="1" applyFont="1"/>
    <xf numFmtId="0" fontId="60" fillId="0" borderId="0" xfId="0" applyFont="1"/>
    <xf numFmtId="0" fontId="71" fillId="6" borderId="0" xfId="0" applyFont="1" applyFill="1" applyAlignment="1">
      <alignment horizontal="center" vertical="center"/>
    </xf>
    <xf numFmtId="0" fontId="54" fillId="0" borderId="14" xfId="0" applyFont="1" applyBorder="1"/>
    <xf numFmtId="4" fontId="73" fillId="0" borderId="16" xfId="0" applyNumberFormat="1" applyFont="1" applyBorder="1"/>
    <xf numFmtId="0" fontId="63" fillId="0" borderId="0" xfId="0" applyFont="1"/>
    <xf numFmtId="0" fontId="63" fillId="4" borderId="5" xfId="0" applyFont="1" applyFill="1" applyBorder="1" applyAlignment="1">
      <alignment horizontal="center" vertical="center"/>
    </xf>
    <xf numFmtId="0" fontId="63" fillId="4" borderId="12" xfId="0" applyFont="1" applyFill="1" applyBorder="1" applyAlignment="1">
      <alignment horizontal="center" vertical="center"/>
    </xf>
    <xf numFmtId="0" fontId="63" fillId="4" borderId="12" xfId="0" applyFont="1" applyFill="1" applyBorder="1" applyAlignment="1">
      <alignment horizontal="center" vertical="center" wrapText="1"/>
    </xf>
    <xf numFmtId="0" fontId="63" fillId="4" borderId="6" xfId="0" applyFont="1" applyFill="1" applyBorder="1" applyAlignment="1">
      <alignment horizontal="center" vertical="center" wrapText="1"/>
    </xf>
    <xf numFmtId="0" fontId="61" fillId="0" borderId="11" xfId="0" applyFont="1" applyBorder="1" applyAlignment="1">
      <alignment horizontal="center"/>
    </xf>
    <xf numFmtId="0" fontId="61" fillId="0" borderId="2" xfId="0" applyFont="1" applyBorder="1"/>
    <xf numFmtId="0" fontId="61" fillId="0" borderId="2" xfId="0" applyFont="1" applyBorder="1" applyAlignment="1">
      <alignment horizontal="center"/>
    </xf>
    <xf numFmtId="43" fontId="67" fillId="0" borderId="2" xfId="6" applyFont="1" applyBorder="1"/>
    <xf numFmtId="43" fontId="67" fillId="0" borderId="8" xfId="0" applyNumberFormat="1" applyFont="1" applyBorder="1"/>
    <xf numFmtId="0" fontId="63" fillId="0" borderId="2" xfId="0" applyFont="1" applyBorder="1" applyAlignment="1">
      <alignment horizontal="right"/>
    </xf>
    <xf numFmtId="43" fontId="68" fillId="0" borderId="2" xfId="0" applyNumberFormat="1" applyFont="1" applyBorder="1"/>
    <xf numFmtId="0" fontId="68" fillId="0" borderId="2" xfId="0" applyFont="1" applyBorder="1"/>
    <xf numFmtId="43" fontId="68" fillId="0" borderId="9" xfId="0" applyNumberFormat="1" applyFont="1" applyBorder="1"/>
    <xf numFmtId="0" fontId="61" fillId="0" borderId="14" xfId="0" applyFont="1" applyBorder="1"/>
    <xf numFmtId="0" fontId="63" fillId="0" borderId="17" xfId="0" applyFont="1" applyBorder="1" applyAlignment="1">
      <alignment horizontal="center"/>
    </xf>
    <xf numFmtId="0" fontId="61" fillId="0" borderId="17" xfId="0" applyFont="1" applyBorder="1"/>
    <xf numFmtId="0" fontId="63" fillId="0" borderId="17" xfId="0" applyFont="1" applyBorder="1"/>
    <xf numFmtId="43" fontId="68" fillId="0" borderId="17" xfId="0" applyNumberFormat="1" applyFont="1" applyBorder="1"/>
    <xf numFmtId="0" fontId="74" fillId="0" borderId="17" xfId="0" applyFont="1" applyBorder="1"/>
    <xf numFmtId="43" fontId="68" fillId="0" borderId="16" xfId="0" applyNumberFormat="1" applyFont="1" applyBorder="1"/>
    <xf numFmtId="43" fontId="60" fillId="0" borderId="0" xfId="0" applyNumberFormat="1" applyFont="1"/>
    <xf numFmtId="0" fontId="58" fillId="4" borderId="35" xfId="0" applyFont="1" applyFill="1" applyBorder="1" applyAlignment="1">
      <alignment horizontal="center"/>
    </xf>
    <xf numFmtId="0" fontId="58" fillId="4" borderId="33" xfId="0" applyFont="1" applyFill="1" applyBorder="1" applyAlignment="1">
      <alignment horizontal="center"/>
    </xf>
    <xf numFmtId="0" fontId="52" fillId="0" borderId="30" xfId="0" applyFont="1" applyBorder="1"/>
    <xf numFmtId="43" fontId="52" fillId="0" borderId="16" xfId="4" applyFont="1" applyBorder="1"/>
    <xf numFmtId="0" fontId="75" fillId="6" borderId="0" xfId="0" applyFont="1" applyFill="1" applyAlignment="1">
      <alignment horizontal="center" vertical="center"/>
    </xf>
    <xf numFmtId="43" fontId="66" fillId="0" borderId="9" xfId="4" applyFont="1" applyBorder="1" applyAlignment="1">
      <alignment horizontal="right"/>
    </xf>
    <xf numFmtId="43" fontId="52" fillId="0" borderId="16" xfId="4" applyFont="1" applyBorder="1" applyAlignment="1">
      <alignment horizontal="right"/>
    </xf>
    <xf numFmtId="43" fontId="61" fillId="0" borderId="18" xfId="4" applyFont="1" applyBorder="1" applyAlignment="1">
      <alignment horizontal="right"/>
    </xf>
    <xf numFmtId="43" fontId="72" fillId="0" borderId="8" xfId="4" applyFont="1" applyBorder="1" applyAlignment="1">
      <alignment horizontal="right"/>
    </xf>
    <xf numFmtId="43" fontId="63" fillId="0" borderId="10" xfId="6" applyFont="1" applyBorder="1"/>
    <xf numFmtId="43" fontId="67" fillId="0" borderId="8" xfId="6" applyFont="1" applyBorder="1"/>
    <xf numFmtId="43" fontId="61" fillId="0" borderId="10" xfId="6" applyFont="1" applyFill="1" applyBorder="1"/>
    <xf numFmtId="43" fontId="61" fillId="0" borderId="8" xfId="6" applyFont="1" applyFill="1" applyBorder="1"/>
    <xf numFmtId="43" fontId="68" fillId="0" borderId="9" xfId="6" applyFont="1" applyFill="1" applyBorder="1"/>
    <xf numFmtId="43" fontId="61" fillId="0" borderId="0" xfId="6" applyFont="1" applyBorder="1"/>
    <xf numFmtId="43" fontId="52" fillId="0" borderId="7" xfId="0" applyNumberFormat="1" applyFont="1" applyBorder="1"/>
    <xf numFmtId="49" fontId="52" fillId="0" borderId="20" xfId="0" applyNumberFormat="1" applyFont="1" applyBorder="1"/>
    <xf numFmtId="43" fontId="52" fillId="0" borderId="21" xfId="4" applyFont="1" applyBorder="1"/>
    <xf numFmtId="43" fontId="65" fillId="0" borderId="21" xfId="4" applyFont="1" applyBorder="1"/>
    <xf numFmtId="0" fontId="58" fillId="0" borderId="22" xfId="0" applyFont="1" applyBorder="1"/>
    <xf numFmtId="43" fontId="66" fillId="0" borderId="23" xfId="4" applyFont="1" applyBorder="1"/>
    <xf numFmtId="0" fontId="52" fillId="0" borderId="24" xfId="0" applyFont="1" applyBorder="1"/>
    <xf numFmtId="0" fontId="52" fillId="0" borderId="3" xfId="0" applyFont="1" applyBorder="1"/>
    <xf numFmtId="43" fontId="52" fillId="0" borderId="25" xfId="4" applyFont="1" applyBorder="1"/>
    <xf numFmtId="0" fontId="52" fillId="0" borderId="20" xfId="0" applyFont="1" applyBorder="1"/>
    <xf numFmtId="0" fontId="58" fillId="0" borderId="26" xfId="0" applyFont="1" applyBorder="1"/>
    <xf numFmtId="43" fontId="66" fillId="0" borderId="27" xfId="4" applyFont="1" applyBorder="1"/>
    <xf numFmtId="0" fontId="52" fillId="4" borderId="0" xfId="0" applyFont="1" applyFill="1"/>
    <xf numFmtId="43" fontId="52" fillId="4" borderId="0" xfId="4" applyFont="1" applyFill="1"/>
    <xf numFmtId="43" fontId="58" fillId="0" borderId="3" xfId="4" applyFont="1" applyBorder="1"/>
    <xf numFmtId="43" fontId="68" fillId="0" borderId="0" xfId="4" applyFont="1"/>
    <xf numFmtId="0" fontId="58" fillId="5" borderId="5" xfId="0" applyFont="1" applyFill="1" applyBorder="1" applyAlignment="1">
      <alignment horizontal="center"/>
    </xf>
    <xf numFmtId="0" fontId="58" fillId="5" borderId="12" xfId="0" applyFont="1" applyFill="1" applyBorder="1" applyAlignment="1">
      <alignment horizontal="center"/>
    </xf>
    <xf numFmtId="43" fontId="58" fillId="5" borderId="6" xfId="6" applyFont="1" applyFill="1" applyBorder="1" applyAlignment="1">
      <alignment horizontal="center"/>
    </xf>
    <xf numFmtId="49" fontId="52" fillId="5" borderId="10" xfId="0" applyNumberFormat="1" applyFont="1" applyFill="1" applyBorder="1"/>
    <xf numFmtId="0" fontId="52" fillId="5" borderId="4" xfId="0" applyFont="1" applyFill="1" applyBorder="1"/>
    <xf numFmtId="0" fontId="52" fillId="5" borderId="4" xfId="0" applyFont="1" applyFill="1" applyBorder="1" applyAlignment="1">
      <alignment horizontal="center"/>
    </xf>
    <xf numFmtId="43" fontId="65" fillId="5" borderId="8" xfId="6" applyFont="1" applyFill="1" applyBorder="1"/>
    <xf numFmtId="0" fontId="58" fillId="5" borderId="14" xfId="0" applyFont="1" applyFill="1" applyBorder="1"/>
    <xf numFmtId="0" fontId="58" fillId="5" borderId="17" xfId="0" applyFont="1" applyFill="1" applyBorder="1"/>
    <xf numFmtId="43" fontId="66" fillId="5" borderId="16" xfId="6" applyFont="1" applyFill="1" applyBorder="1"/>
    <xf numFmtId="0" fontId="52" fillId="5" borderId="10" xfId="0" applyFont="1" applyFill="1" applyBorder="1"/>
    <xf numFmtId="14" fontId="52" fillId="5" borderId="4" xfId="0" applyNumberFormat="1" applyFont="1" applyFill="1" applyBorder="1" applyAlignment="1">
      <alignment horizontal="center"/>
    </xf>
    <xf numFmtId="43" fontId="52" fillId="5" borderId="8" xfId="6" applyFont="1" applyFill="1" applyBorder="1"/>
    <xf numFmtId="0" fontId="52" fillId="5" borderId="11" xfId="0" applyFont="1" applyFill="1" applyBorder="1"/>
    <xf numFmtId="0" fontId="52" fillId="5" borderId="2" xfId="0" applyFont="1" applyFill="1" applyBorder="1"/>
    <xf numFmtId="14" fontId="52" fillId="5" borderId="2" xfId="0" applyNumberFormat="1" applyFont="1" applyFill="1" applyBorder="1" applyAlignment="1">
      <alignment horizontal="center"/>
    </xf>
    <xf numFmtId="43" fontId="65" fillId="5" borderId="9" xfId="6" applyFont="1" applyFill="1" applyBorder="1"/>
    <xf numFmtId="43" fontId="76" fillId="0" borderId="0" xfId="4" applyFont="1"/>
    <xf numFmtId="43" fontId="68" fillId="0" borderId="0" xfId="4" applyFont="1" applyBorder="1"/>
    <xf numFmtId="43" fontId="61" fillId="8" borderId="0" xfId="4" applyFont="1" applyFill="1"/>
    <xf numFmtId="0" fontId="52" fillId="5" borderId="0" xfId="0" applyFont="1" applyFill="1"/>
    <xf numFmtId="43" fontId="52" fillId="8" borderId="0" xfId="0" applyNumberFormat="1" applyFont="1" applyFill="1"/>
    <xf numFmtId="43" fontId="52" fillId="5" borderId="0" xfId="0" applyNumberFormat="1" applyFont="1" applyFill="1"/>
    <xf numFmtId="43" fontId="52" fillId="8" borderId="7" xfId="0" applyNumberFormat="1" applyFont="1" applyFill="1" applyBorder="1"/>
    <xf numFmtId="43" fontId="52" fillId="5" borderId="0" xfId="4" applyFont="1" applyFill="1"/>
    <xf numFmtId="49" fontId="69" fillId="5" borderId="10" xfId="0" applyNumberFormat="1" applyFont="1" applyFill="1" applyBorder="1"/>
    <xf numFmtId="0" fontId="69" fillId="0" borderId="0" xfId="0" applyFont="1" applyAlignment="1">
      <alignment horizontal="center"/>
    </xf>
    <xf numFmtId="0" fontId="52" fillId="5" borderId="30" xfId="0" applyFont="1" applyFill="1" applyBorder="1"/>
    <xf numFmtId="0" fontId="69" fillId="5" borderId="19" xfId="0" applyFont="1" applyFill="1" applyBorder="1" applyAlignment="1">
      <alignment vertical="center"/>
    </xf>
    <xf numFmtId="0" fontId="52" fillId="5" borderId="19" xfId="0" applyFont="1" applyFill="1" applyBorder="1"/>
    <xf numFmtId="14" fontId="52" fillId="5" borderId="19" xfId="0" applyNumberFormat="1" applyFont="1" applyFill="1" applyBorder="1" applyAlignment="1">
      <alignment horizontal="center"/>
    </xf>
    <xf numFmtId="43" fontId="52" fillId="5" borderId="18" xfId="6" applyFont="1" applyFill="1" applyBorder="1"/>
    <xf numFmtId="0" fontId="52" fillId="5" borderId="14" xfId="0" applyFont="1" applyFill="1" applyBorder="1"/>
    <xf numFmtId="0" fontId="52" fillId="5" borderId="17" xfId="0" applyFont="1" applyFill="1" applyBorder="1"/>
    <xf numFmtId="14" fontId="52" fillId="5" borderId="17" xfId="0" applyNumberFormat="1" applyFont="1" applyFill="1" applyBorder="1" applyAlignment="1">
      <alignment horizontal="center"/>
    </xf>
    <xf numFmtId="43" fontId="65" fillId="5" borderId="16" xfId="6" applyFont="1" applyFill="1" applyBorder="1"/>
    <xf numFmtId="0" fontId="77" fillId="5" borderId="4" xfId="0" applyFont="1" applyFill="1" applyBorder="1" applyAlignment="1">
      <alignment horizontal="center"/>
    </xf>
    <xf numFmtId="0" fontId="69" fillId="5" borderId="4" xfId="0" applyFont="1" applyFill="1" applyBorder="1" applyAlignment="1">
      <alignment horizontal="center" vertical="center"/>
    </xf>
    <xf numFmtId="49" fontId="52" fillId="5" borderId="4" xfId="0" applyNumberFormat="1" applyFont="1" applyFill="1" applyBorder="1" applyAlignment="1">
      <alignment horizontal="center"/>
    </xf>
    <xf numFmtId="43" fontId="58" fillId="0" borderId="7" xfId="0" applyNumberFormat="1" applyFont="1" applyBorder="1"/>
    <xf numFmtId="43" fontId="70" fillId="0" borderId="0" xfId="6" applyFont="1"/>
    <xf numFmtId="43" fontId="58" fillId="4" borderId="6" xfId="6" applyFont="1" applyFill="1" applyBorder="1" applyAlignment="1">
      <alignment horizontal="center"/>
    </xf>
    <xf numFmtId="14" fontId="58" fillId="0" borderId="0" xfId="0" applyNumberFormat="1" applyFont="1"/>
    <xf numFmtId="43" fontId="52" fillId="0" borderId="9" xfId="4" applyFont="1" applyFill="1" applyBorder="1"/>
    <xf numFmtId="0" fontId="52" fillId="0" borderId="34" xfId="0" applyFont="1" applyBorder="1"/>
    <xf numFmtId="43" fontId="65" fillId="0" borderId="9" xfId="4" applyFont="1" applyFill="1" applyBorder="1"/>
    <xf numFmtId="4" fontId="58" fillId="0" borderId="0" xfId="0" applyNumberFormat="1" applyFont="1" applyAlignment="1">
      <alignment horizontal="center"/>
    </xf>
    <xf numFmtId="43" fontId="52" fillId="0" borderId="8" xfId="6" applyFont="1" applyFill="1" applyBorder="1" applyAlignment="1">
      <alignment horizontal="right"/>
    </xf>
    <xf numFmtId="43" fontId="52" fillId="0" borderId="9" xfId="6" applyFont="1" applyBorder="1" applyAlignment="1">
      <alignment horizontal="right"/>
    </xf>
    <xf numFmtId="43" fontId="65" fillId="0" borderId="9" xfId="6" applyFont="1" applyBorder="1" applyAlignment="1">
      <alignment horizontal="right"/>
    </xf>
    <xf numFmtId="43" fontId="52" fillId="0" borderId="14" xfId="0" applyNumberFormat="1" applyFont="1" applyBorder="1"/>
    <xf numFmtId="4" fontId="52" fillId="0" borderId="0" xfId="18" applyNumberFormat="1" applyFont="1"/>
    <xf numFmtId="8" fontId="52" fillId="0" borderId="0" xfId="0" applyNumberFormat="1" applyFont="1" applyAlignment="1">
      <alignment horizontal="left" vertical="center" indent="4"/>
    </xf>
    <xf numFmtId="43" fontId="52" fillId="0" borderId="16" xfId="0" applyNumberFormat="1" applyFont="1" applyBorder="1"/>
    <xf numFmtId="43" fontId="58" fillId="0" borderId="16" xfId="4" applyFont="1" applyBorder="1"/>
    <xf numFmtId="43" fontId="65" fillId="0" borderId="4" xfId="4" applyFont="1" applyBorder="1"/>
    <xf numFmtId="0" fontId="58" fillId="0" borderId="2" xfId="0" applyFont="1" applyBorder="1" applyAlignment="1">
      <alignment horizontal="right"/>
    </xf>
    <xf numFmtId="0" fontId="63" fillId="0" borderId="2" xfId="0" applyFont="1" applyBorder="1"/>
    <xf numFmtId="0" fontId="71" fillId="0" borderId="0" xfId="0" applyFont="1"/>
    <xf numFmtId="43" fontId="61" fillId="0" borderId="2" xfId="4" applyFont="1" applyBorder="1"/>
    <xf numFmtId="0" fontId="61" fillId="0" borderId="4" xfId="0" applyFont="1" applyBorder="1"/>
    <xf numFmtId="43" fontId="61" fillId="0" borderId="4" xfId="4" applyFont="1" applyBorder="1"/>
    <xf numFmtId="0" fontId="63" fillId="0" borderId="5" xfId="0" applyFont="1" applyBorder="1" applyAlignment="1">
      <alignment horizontal="center"/>
    </xf>
    <xf numFmtId="43" fontId="63" fillId="0" borderId="6" xfId="4" applyFont="1" applyBorder="1" applyAlignment="1">
      <alignment horizontal="center"/>
    </xf>
    <xf numFmtId="43" fontId="67" fillId="0" borderId="2" xfId="4" applyFont="1" applyBorder="1"/>
    <xf numFmtId="43" fontId="61" fillId="0" borderId="0" xfId="4" applyFont="1" applyBorder="1"/>
    <xf numFmtId="43" fontId="58" fillId="0" borderId="0" xfId="4" applyFont="1" applyAlignment="1">
      <alignment horizontal="center"/>
    </xf>
    <xf numFmtId="43" fontId="58" fillId="0" borderId="0" xfId="4" applyFont="1" applyAlignment="1">
      <alignment horizontal="center" vertical="top"/>
    </xf>
    <xf numFmtId="43" fontId="58" fillId="0" borderId="0" xfId="4" applyFont="1" applyAlignment="1">
      <alignment vertical="top"/>
    </xf>
    <xf numFmtId="0" fontId="63" fillId="0" borderId="0" xfId="0" applyFont="1" applyAlignment="1">
      <alignment horizontal="center"/>
    </xf>
    <xf numFmtId="0" fontId="54" fillId="0" borderId="0" xfId="0" applyFont="1" applyAlignment="1">
      <alignment vertical="center"/>
    </xf>
    <xf numFmtId="0" fontId="82" fillId="0" borderId="0" xfId="0" applyFont="1" applyAlignment="1">
      <alignment horizontal="center"/>
    </xf>
    <xf numFmtId="43" fontId="63" fillId="0" borderId="7" xfId="6" applyFont="1" applyFill="1" applyBorder="1"/>
    <xf numFmtId="0" fontId="72" fillId="0" borderId="2" xfId="0" applyFont="1" applyBorder="1" applyAlignment="1">
      <alignment horizontal="center"/>
    </xf>
    <xf numFmtId="0" fontId="61" fillId="0" borderId="2" xfId="0" applyFont="1" applyBorder="1" applyAlignment="1">
      <alignment vertical="center"/>
    </xf>
    <xf numFmtId="43" fontId="61" fillId="0" borderId="2" xfId="6" applyFont="1" applyFill="1" applyBorder="1"/>
    <xf numFmtId="43" fontId="61" fillId="0" borderId="2" xfId="4" applyFont="1" applyFill="1" applyBorder="1"/>
    <xf numFmtId="0" fontId="61" fillId="0" borderId="2" xfId="0" applyFont="1" applyBorder="1" applyAlignment="1">
      <alignment horizontal="left" vertical="center"/>
    </xf>
    <xf numFmtId="43" fontId="63" fillId="0" borderId="2" xfId="6" applyFont="1" applyFill="1" applyBorder="1"/>
    <xf numFmtId="43" fontId="64" fillId="0" borderId="2" xfId="6" applyFont="1" applyFill="1" applyBorder="1" applyAlignment="1"/>
    <xf numFmtId="43" fontId="81" fillId="0" borderId="2" xfId="6" applyFont="1" applyFill="1" applyBorder="1" applyAlignment="1"/>
    <xf numFmtId="43" fontId="68" fillId="0" borderId="2" xfId="4" applyFont="1" applyFill="1" applyBorder="1"/>
    <xf numFmtId="0" fontId="61" fillId="0" borderId="4" xfId="0" applyFont="1" applyBorder="1" applyAlignment="1">
      <alignment vertical="center"/>
    </xf>
    <xf numFmtId="0" fontId="61" fillId="0" borderId="4" xfId="0" applyFont="1" applyBorder="1" applyAlignment="1">
      <alignment wrapText="1"/>
    </xf>
    <xf numFmtId="43" fontId="61" fillId="0" borderId="4" xfId="4" applyFont="1" applyFill="1" applyBorder="1" applyAlignment="1">
      <alignment wrapText="1"/>
    </xf>
    <xf numFmtId="43" fontId="61" fillId="0" borderId="4" xfId="6" applyFont="1" applyFill="1" applyBorder="1"/>
    <xf numFmtId="0" fontId="83" fillId="0" borderId="12" xfId="0" applyFont="1" applyBorder="1" applyAlignment="1">
      <alignment horizontal="center"/>
    </xf>
    <xf numFmtId="43" fontId="83" fillId="0" borderId="6" xfId="6" applyFont="1" applyFill="1" applyBorder="1" applyAlignment="1">
      <alignment horizontal="center"/>
    </xf>
    <xf numFmtId="0" fontId="63" fillId="0" borderId="7" xfId="0" applyFont="1" applyBorder="1"/>
    <xf numFmtId="43" fontId="63" fillId="0" borderId="7" xfId="0" applyNumberFormat="1" applyFont="1" applyBorder="1"/>
    <xf numFmtId="43" fontId="52" fillId="0" borderId="0" xfId="6" applyFont="1" applyFill="1"/>
    <xf numFmtId="0" fontId="85" fillId="0" borderId="0" xfId="0" applyFont="1" applyAlignment="1">
      <alignment vertical="center"/>
    </xf>
    <xf numFmtId="0" fontId="84" fillId="0" borderId="0" xfId="71" applyAlignment="1">
      <alignment vertical="center"/>
    </xf>
    <xf numFmtId="0" fontId="86" fillId="0" borderId="0" xfId="0" applyFont="1"/>
    <xf numFmtId="43" fontId="52" fillId="0" borderId="0" xfId="35" applyFont="1" applyAlignment="1">
      <alignment horizontal="right"/>
    </xf>
    <xf numFmtId="0" fontId="86" fillId="0" borderId="0" xfId="0" applyFont="1" applyAlignment="1">
      <alignment horizontal="center"/>
    </xf>
    <xf numFmtId="43" fontId="63" fillId="0" borderId="10" xfId="6" applyFont="1" applyFill="1" applyBorder="1"/>
    <xf numFmtId="43" fontId="63" fillId="0" borderId="8" xfId="6" applyFont="1" applyFill="1" applyBorder="1"/>
    <xf numFmtId="43" fontId="87" fillId="0" borderId="8" xfId="6" applyFont="1" applyFill="1" applyBorder="1"/>
    <xf numFmtId="43" fontId="63" fillId="0" borderId="11" xfId="6" applyFont="1" applyFill="1" applyBorder="1"/>
    <xf numFmtId="43" fontId="69" fillId="0" borderId="0" xfId="45" applyFont="1"/>
    <xf numFmtId="0" fontId="52" fillId="0" borderId="10" xfId="18" applyFont="1" applyBorder="1"/>
    <xf numFmtId="0" fontId="52" fillId="0" borderId="11" xfId="18" applyFont="1" applyBorder="1"/>
    <xf numFmtId="0" fontId="58" fillId="0" borderId="11" xfId="18" applyFont="1" applyBorder="1"/>
    <xf numFmtId="43" fontId="66" fillId="0" borderId="9" xfId="4" applyFont="1" applyFill="1" applyBorder="1"/>
    <xf numFmtId="4" fontId="52" fillId="0" borderId="8" xfId="18" applyNumberFormat="1" applyFont="1" applyBorder="1"/>
    <xf numFmtId="4" fontId="52" fillId="0" borderId="9" xfId="18" applyNumberFormat="1" applyFont="1" applyBorder="1"/>
    <xf numFmtId="43" fontId="63" fillId="0" borderId="34" xfId="35" applyFont="1" applyBorder="1" applyAlignment="1">
      <alignment horizontal="right"/>
    </xf>
    <xf numFmtId="43" fontId="52" fillId="0" borderId="18" xfId="6" applyFont="1" applyBorder="1" applyAlignment="1">
      <alignment horizontal="right"/>
    </xf>
    <xf numFmtId="43" fontId="58" fillId="0" borderId="9" xfId="0" applyNumberFormat="1" applyFont="1" applyBorder="1"/>
    <xf numFmtId="43" fontId="58" fillId="0" borderId="16" xfId="0" applyNumberFormat="1" applyFont="1" applyBorder="1"/>
    <xf numFmtId="0" fontId="52" fillId="0" borderId="10" xfId="0" applyFont="1" applyBorder="1" applyAlignment="1">
      <alignment horizontal="left" wrapText="1"/>
    </xf>
    <xf numFmtId="0" fontId="42" fillId="0" borderId="0" xfId="0" applyFont="1"/>
    <xf numFmtId="43" fontId="52" fillId="0" borderId="1" xfId="0" applyNumberFormat="1" applyFont="1" applyBorder="1" applyAlignment="1">
      <alignment horizontal="right"/>
    </xf>
    <xf numFmtId="0" fontId="27" fillId="0" borderId="0" xfId="76"/>
    <xf numFmtId="4" fontId="27" fillId="0" borderId="0" xfId="76" applyNumberFormat="1"/>
    <xf numFmtId="17" fontId="58" fillId="0" borderId="0" xfId="73" applyNumberFormat="1" applyFont="1"/>
    <xf numFmtId="43" fontId="52" fillId="0" borderId="0" xfId="73" applyNumberFormat="1" applyFont="1"/>
    <xf numFmtId="0" fontId="52" fillId="0" borderId="0" xfId="73" applyFont="1"/>
    <xf numFmtId="43" fontId="80" fillId="0" borderId="0" xfId="75" applyFont="1"/>
    <xf numFmtId="0" fontId="79" fillId="4" borderId="5" xfId="73" applyFont="1" applyFill="1" applyBorder="1" applyAlignment="1">
      <alignment horizontal="center" vertical="center" wrapText="1"/>
    </xf>
    <xf numFmtId="0" fontId="64" fillId="4" borderId="12" xfId="73" applyFont="1" applyFill="1" applyBorder="1" applyAlignment="1">
      <alignment horizontal="center" vertical="center" wrapText="1"/>
    </xf>
    <xf numFmtId="0" fontId="64" fillId="4" borderId="6" xfId="73" applyFont="1" applyFill="1" applyBorder="1" applyAlignment="1">
      <alignment horizontal="center" vertical="center" wrapText="1"/>
    </xf>
    <xf numFmtId="0" fontId="52" fillId="0" borderId="10" xfId="73" applyFont="1" applyBorder="1"/>
    <xf numFmtId="0" fontId="52" fillId="0" borderId="11" xfId="73" applyFont="1" applyBorder="1"/>
    <xf numFmtId="0" fontId="58" fillId="0" borderId="11" xfId="73" applyFont="1" applyBorder="1"/>
    <xf numFmtId="0" fontId="58" fillId="0" borderId="11" xfId="73" applyFont="1" applyBorder="1" applyAlignment="1">
      <alignment vertical="center" wrapText="1"/>
    </xf>
    <xf numFmtId="0" fontId="52" fillId="0" borderId="14" xfId="73" applyFont="1" applyBorder="1"/>
    <xf numFmtId="0" fontId="52" fillId="0" borderId="30" xfId="18" applyFont="1" applyBorder="1"/>
    <xf numFmtId="43" fontId="58" fillId="0" borderId="13" xfId="4" applyFont="1" applyFill="1" applyBorder="1" applyAlignment="1">
      <alignment horizontal="center" vertical="center" wrapText="1"/>
    </xf>
    <xf numFmtId="0" fontId="52" fillId="0" borderId="0" xfId="0" quotePrefix="1" applyFont="1" applyAlignment="1">
      <alignment horizontal="left"/>
    </xf>
    <xf numFmtId="43" fontId="88" fillId="0" borderId="0" xfId="4" applyFont="1" applyFill="1" applyAlignment="1">
      <alignment horizontal="center"/>
    </xf>
    <xf numFmtId="43" fontId="78" fillId="0" borderId="0" xfId="4" applyFont="1" applyFill="1" applyAlignment="1">
      <alignment horizontal="center"/>
    </xf>
    <xf numFmtId="10" fontId="58" fillId="0" borderId="0" xfId="43" applyNumberFormat="1" applyFont="1" applyFill="1" applyAlignment="1">
      <alignment horizontal="center"/>
    </xf>
    <xf numFmtId="43" fontId="52" fillId="0" borderId="1" xfId="4" applyFont="1" applyFill="1" applyBorder="1"/>
    <xf numFmtId="0" fontId="58" fillId="0" borderId="0" xfId="0" applyFont="1" applyAlignment="1">
      <alignment horizontal="left" indent="3"/>
    </xf>
    <xf numFmtId="43" fontId="52" fillId="0" borderId="0" xfId="0" applyNumberFormat="1" applyFont="1" applyAlignment="1">
      <alignment horizontal="center"/>
    </xf>
    <xf numFmtId="43" fontId="61" fillId="0" borderId="0" xfId="6" applyFont="1" applyFill="1"/>
    <xf numFmtId="43" fontId="58" fillId="0" borderId="0" xfId="0" applyNumberFormat="1" applyFont="1"/>
    <xf numFmtId="43" fontId="58" fillId="0" borderId="37" xfId="4" applyFont="1" applyBorder="1" applyAlignment="1">
      <alignment horizontal="center"/>
    </xf>
    <xf numFmtId="43" fontId="52" fillId="0" borderId="37" xfId="4" applyFont="1" applyBorder="1"/>
    <xf numFmtId="0" fontId="52" fillId="0" borderId="38" xfId="0" applyFont="1" applyBorder="1"/>
    <xf numFmtId="43" fontId="66" fillId="0" borderId="16" xfId="0" applyNumberFormat="1" applyFont="1" applyBorder="1"/>
    <xf numFmtId="43" fontId="58" fillId="0" borderId="0" xfId="4" applyFont="1" applyBorder="1" applyAlignment="1">
      <alignment horizontal="center"/>
    </xf>
    <xf numFmtId="0" fontId="54" fillId="7" borderId="40" xfId="0" applyFont="1" applyFill="1" applyBorder="1" applyAlignment="1">
      <alignment horizontal="center"/>
    </xf>
    <xf numFmtId="0" fontId="58" fillId="0" borderId="34" xfId="0" applyFont="1" applyBorder="1" applyAlignment="1">
      <alignment horizontal="center"/>
    </xf>
    <xf numFmtId="170" fontId="52" fillId="0" borderId="34" xfId="0" applyNumberFormat="1" applyFont="1" applyBorder="1"/>
    <xf numFmtId="0" fontId="52" fillId="0" borderId="41" xfId="0" applyFont="1" applyBorder="1"/>
    <xf numFmtId="43" fontId="58" fillId="0" borderId="34" xfId="4" applyFont="1" applyBorder="1" applyAlignment="1">
      <alignment horizontal="center"/>
    </xf>
    <xf numFmtId="43" fontId="52" fillId="0" borderId="37" xfId="4" applyFont="1" applyFill="1" applyBorder="1"/>
    <xf numFmtId="168" fontId="52" fillId="0" borderId="34" xfId="4" applyNumberFormat="1" applyFont="1" applyBorder="1"/>
    <xf numFmtId="43" fontId="54" fillId="0" borderId="13" xfId="4" applyFont="1" applyFill="1" applyBorder="1" applyAlignment="1">
      <alignment horizontal="center" vertical="center" wrapText="1"/>
    </xf>
    <xf numFmtId="0" fontId="63" fillId="0" borderId="0" xfId="18" applyFont="1" applyAlignment="1">
      <alignment horizontal="center"/>
    </xf>
    <xf numFmtId="43" fontId="63" fillId="0" borderId="0" xfId="18" applyNumberFormat="1" applyFont="1" applyAlignment="1">
      <alignment horizontal="center"/>
    </xf>
    <xf numFmtId="43" fontId="53" fillId="0" borderId="0" xfId="4" applyFont="1" applyFill="1"/>
    <xf numFmtId="0" fontId="64" fillId="0" borderId="0" xfId="0" applyFont="1" applyAlignment="1">
      <alignment horizontal="center"/>
    </xf>
    <xf numFmtId="4" fontId="26" fillId="0" borderId="0" xfId="77" applyNumberFormat="1"/>
    <xf numFmtId="4" fontId="89" fillId="0" borderId="0" xfId="0" applyNumberFormat="1" applyFont="1"/>
    <xf numFmtId="0" fontId="52" fillId="0" borderId="0" xfId="0" applyFont="1" applyAlignment="1" applyProtection="1">
      <alignment horizontal="center"/>
      <protection locked="0"/>
    </xf>
    <xf numFmtId="4" fontId="86" fillId="0" borderId="0" xfId="18" applyNumberFormat="1" applyFont="1"/>
    <xf numFmtId="43" fontId="69" fillId="0" borderId="0" xfId="45" applyFont="1" applyFill="1" applyBorder="1"/>
    <xf numFmtId="43" fontId="52" fillId="0" borderId="8" xfId="4" applyFont="1" applyFill="1" applyBorder="1"/>
    <xf numFmtId="0" fontId="58" fillId="0" borderId="11" xfId="18" applyFont="1" applyBorder="1" applyAlignment="1">
      <alignment wrapText="1"/>
    </xf>
    <xf numFmtId="0" fontId="58" fillId="0" borderId="11" xfId="73" applyFont="1" applyBorder="1" applyAlignment="1">
      <alignment wrapText="1"/>
    </xf>
    <xf numFmtId="43" fontId="90" fillId="0" borderId="0" xfId="84" applyFont="1" applyAlignment="1">
      <alignment horizontal="right"/>
    </xf>
    <xf numFmtId="43" fontId="52" fillId="0" borderId="1" xfId="4" applyFont="1" applyFill="1" applyBorder="1" applyAlignment="1"/>
    <xf numFmtId="43" fontId="58" fillId="0" borderId="3" xfId="4" applyFont="1" applyFill="1" applyBorder="1" applyAlignment="1"/>
    <xf numFmtId="43" fontId="61" fillId="0" borderId="0" xfId="6" applyFont="1" applyFill="1" applyAlignment="1">
      <alignment horizontal="right"/>
    </xf>
    <xf numFmtId="4" fontId="21" fillId="0" borderId="0" xfId="85" applyNumberFormat="1"/>
    <xf numFmtId="4" fontId="20" fillId="0" borderId="0" xfId="86" applyNumberFormat="1"/>
    <xf numFmtId="0" fontId="19" fillId="0" borderId="0" xfId="87"/>
    <xf numFmtId="4" fontId="19" fillId="0" borderId="0" xfId="87" applyNumberFormat="1"/>
    <xf numFmtId="4" fontId="52" fillId="0" borderId="18" xfId="18" applyNumberFormat="1" applyFont="1" applyBorder="1"/>
    <xf numFmtId="0" fontId="58" fillId="4" borderId="35" xfId="0" applyFont="1" applyFill="1" applyBorder="1" applyAlignment="1">
      <alignment horizontal="center" vertical="center" wrapText="1"/>
    </xf>
    <xf numFmtId="0" fontId="55" fillId="0" borderId="11" xfId="0" applyFont="1" applyBorder="1"/>
    <xf numFmtId="4" fontId="72" fillId="0" borderId="9" xfId="18" applyNumberFormat="1" applyFont="1" applyBorder="1"/>
    <xf numFmtId="0" fontId="17" fillId="0" borderId="0" xfId="90"/>
    <xf numFmtId="0" fontId="17" fillId="0" borderId="0" xfId="90" quotePrefix="1"/>
    <xf numFmtId="14" fontId="17" fillId="0" borderId="0" xfId="90" applyNumberFormat="1"/>
    <xf numFmtId="4" fontId="17" fillId="0" borderId="0" xfId="90" applyNumberFormat="1"/>
    <xf numFmtId="4" fontId="17" fillId="0" borderId="7" xfId="90" applyNumberFormat="1" applyBorder="1"/>
    <xf numFmtId="0" fontId="91" fillId="0" borderId="0" xfId="90" applyFont="1"/>
    <xf numFmtId="0" fontId="17" fillId="10" borderId="0" xfId="90" applyFill="1"/>
    <xf numFmtId="43" fontId="65" fillId="0" borderId="8" xfId="4" applyFont="1" applyBorder="1"/>
    <xf numFmtId="4" fontId="14" fillId="0" borderId="0" xfId="95" applyNumberFormat="1"/>
    <xf numFmtId="4" fontId="86" fillId="0" borderId="8" xfId="18" applyNumberFormat="1" applyFont="1" applyBorder="1"/>
    <xf numFmtId="0" fontId="12" fillId="0" borderId="0" xfId="98"/>
    <xf numFmtId="14" fontId="12" fillId="0" borderId="0" xfId="98" applyNumberFormat="1"/>
    <xf numFmtId="0" fontId="49" fillId="0" borderId="0" xfId="90" applyFont="1"/>
    <xf numFmtId="43" fontId="92" fillId="0" borderId="0" xfId="4" applyFont="1" applyBorder="1"/>
    <xf numFmtId="0" fontId="17" fillId="10" borderId="0" xfId="90" applyFill="1" applyAlignment="1">
      <alignment horizontal="center"/>
    </xf>
    <xf numFmtId="0" fontId="80" fillId="0" borderId="0" xfId="0" applyFont="1"/>
    <xf numFmtId="4" fontId="59" fillId="0" borderId="0" xfId="78" applyNumberFormat="1" applyFont="1"/>
    <xf numFmtId="0" fontId="69" fillId="9" borderId="47" xfId="0" applyFont="1" applyFill="1" applyBorder="1" applyAlignment="1">
      <alignment horizontal="center"/>
    </xf>
    <xf numFmtId="14" fontId="69" fillId="9" borderId="47" xfId="0" applyNumberFormat="1" applyFont="1" applyFill="1" applyBorder="1" applyAlignment="1">
      <alignment horizontal="center"/>
    </xf>
    <xf numFmtId="4" fontId="69" fillId="9" borderId="47" xfId="0" applyNumberFormat="1" applyFont="1" applyFill="1" applyBorder="1"/>
    <xf numFmtId="0" fontId="69" fillId="9" borderId="42" xfId="0" applyFont="1" applyFill="1" applyBorder="1" applyAlignment="1">
      <alignment horizontal="center"/>
    </xf>
    <xf numFmtId="14" fontId="69" fillId="9" borderId="42" xfId="0" applyNumberFormat="1" applyFont="1" applyFill="1" applyBorder="1" applyAlignment="1">
      <alignment horizontal="center"/>
    </xf>
    <xf numFmtId="4" fontId="69" fillId="9" borderId="42" xfId="0" applyNumberFormat="1" applyFont="1" applyFill="1" applyBorder="1"/>
    <xf numFmtId="4" fontId="95" fillId="9" borderId="42" xfId="0" applyNumberFormat="1" applyFont="1" applyFill="1" applyBorder="1"/>
    <xf numFmtId="4" fontId="96" fillId="9" borderId="42" xfId="0" applyNumberFormat="1" applyFont="1" applyFill="1" applyBorder="1"/>
    <xf numFmtId="4" fontId="60" fillId="0" borderId="0" xfId="0" applyNumberFormat="1" applyFont="1"/>
    <xf numFmtId="0" fontId="69" fillId="9" borderId="42" xfId="0" applyFont="1" applyFill="1" applyBorder="1"/>
    <xf numFmtId="4" fontId="93" fillId="9" borderId="42" xfId="0" applyNumberFormat="1" applyFont="1" applyFill="1" applyBorder="1"/>
    <xf numFmtId="0" fontId="69" fillId="9" borderId="45" xfId="0" applyFont="1" applyFill="1" applyBorder="1" applyAlignment="1">
      <alignment horizontal="center"/>
    </xf>
    <xf numFmtId="14" fontId="69" fillId="9" borderId="46" xfId="0" applyNumberFormat="1" applyFont="1" applyFill="1" applyBorder="1" applyAlignment="1">
      <alignment horizontal="center"/>
    </xf>
    <xf numFmtId="4" fontId="80" fillId="9" borderId="42" xfId="0" applyNumberFormat="1" applyFont="1" applyFill="1" applyBorder="1"/>
    <xf numFmtId="0" fontId="93" fillId="9" borderId="4" xfId="0" applyFont="1" applyFill="1" applyBorder="1" applyAlignment="1">
      <alignment horizontal="center"/>
    </xf>
    <xf numFmtId="0" fontId="93" fillId="9" borderId="5" xfId="0" applyFont="1" applyFill="1" applyBorder="1" applyAlignment="1">
      <alignment horizontal="center"/>
    </xf>
    <xf numFmtId="0" fontId="93" fillId="9" borderId="12" xfId="0" applyFont="1" applyFill="1" applyBorder="1" applyAlignment="1">
      <alignment horizontal="center"/>
    </xf>
    <xf numFmtId="0" fontId="93" fillId="9" borderId="6" xfId="0" applyFont="1" applyFill="1" applyBorder="1" applyAlignment="1">
      <alignment horizontal="center"/>
    </xf>
    <xf numFmtId="0" fontId="97" fillId="0" borderId="0" xfId="0" applyFont="1"/>
    <xf numFmtId="4" fontId="86" fillId="0" borderId="9" xfId="18" applyNumberFormat="1" applyFont="1" applyBorder="1"/>
    <xf numFmtId="43" fontId="66" fillId="0" borderId="16" xfId="4" applyFont="1" applyBorder="1"/>
    <xf numFmtId="0" fontId="58" fillId="0" borderId="0" xfId="0" applyFont="1" applyAlignment="1">
      <alignment vertical="center"/>
    </xf>
    <xf numFmtId="0" fontId="63" fillId="0" borderId="0" xfId="18" applyFont="1" applyAlignment="1">
      <alignment horizontal="center" vertical="center"/>
    </xf>
    <xf numFmtId="43" fontId="52" fillId="0" borderId="0" xfId="4" applyFont="1" applyFill="1" applyAlignment="1">
      <alignment vertical="center"/>
    </xf>
    <xf numFmtId="43" fontId="61" fillId="0" borderId="0" xfId="4" applyFont="1" applyFill="1" applyAlignment="1">
      <alignment vertical="center"/>
    </xf>
    <xf numFmtId="0" fontId="52" fillId="0" borderId="0" xfId="0" applyFont="1" applyAlignment="1">
      <alignment vertical="center"/>
    </xf>
    <xf numFmtId="43" fontId="58" fillId="0" borderId="0" xfId="4" applyFont="1" applyFill="1" applyAlignment="1">
      <alignment vertical="center"/>
    </xf>
    <xf numFmtId="43" fontId="63" fillId="0" borderId="0" xfId="4" applyFont="1" applyFill="1" applyAlignment="1">
      <alignment vertical="center"/>
    </xf>
    <xf numFmtId="4" fontId="52" fillId="0" borderId="0" xfId="0" applyNumberFormat="1" applyFont="1" applyAlignment="1">
      <alignment vertical="center"/>
    </xf>
    <xf numFmtId="43" fontId="52" fillId="0" borderId="0" xfId="6" applyFont="1" applyFill="1" applyAlignment="1">
      <alignment vertical="center"/>
    </xf>
    <xf numFmtId="0" fontId="69" fillId="9" borderId="50" xfId="0" applyFont="1" applyFill="1" applyBorder="1" applyAlignment="1">
      <alignment horizontal="center"/>
    </xf>
    <xf numFmtId="43" fontId="52" fillId="0" borderId="0" xfId="4" applyFont="1" applyAlignment="1">
      <alignment horizontal="right"/>
    </xf>
    <xf numFmtId="43" fontId="58" fillId="0" borderId="3" xfId="4" applyFont="1" applyBorder="1" applyAlignment="1">
      <alignment horizontal="right"/>
    </xf>
    <xf numFmtId="43" fontId="52" fillId="0" borderId="0" xfId="4" applyFont="1" applyBorder="1" applyAlignment="1">
      <alignment horizontal="right"/>
    </xf>
    <xf numFmtId="43" fontId="52" fillId="0" borderId="0" xfId="4" applyFont="1" applyFill="1" applyBorder="1" applyAlignment="1">
      <alignment horizontal="right"/>
    </xf>
    <xf numFmtId="43" fontId="52" fillId="0" borderId="1" xfId="4" applyFont="1" applyBorder="1" applyAlignment="1">
      <alignment horizontal="right"/>
    </xf>
    <xf numFmtId="43" fontId="52" fillId="0" borderId="1" xfId="4" applyFont="1" applyFill="1" applyBorder="1" applyAlignment="1">
      <alignment horizontal="right"/>
    </xf>
    <xf numFmtId="43" fontId="58" fillId="0" borderId="0" xfId="4" applyFont="1" applyAlignment="1">
      <alignment horizontal="right"/>
    </xf>
    <xf numFmtId="43" fontId="58" fillId="0" borderId="0" xfId="4" applyFont="1" applyFill="1" applyAlignment="1">
      <alignment horizontal="right"/>
    </xf>
    <xf numFmtId="43" fontId="52" fillId="0" borderId="0" xfId="4" applyFont="1" applyFill="1" applyAlignment="1">
      <alignment horizontal="right"/>
    </xf>
    <xf numFmtId="43" fontId="58" fillId="0" borderId="7" xfId="4" applyFont="1" applyBorder="1" applyAlignment="1">
      <alignment horizontal="right"/>
    </xf>
    <xf numFmtId="43" fontId="58" fillId="0" borderId="7" xfId="4" applyFont="1" applyFill="1" applyBorder="1" applyAlignment="1">
      <alignment horizontal="right"/>
    </xf>
    <xf numFmtId="174" fontId="52" fillId="0" borderId="0" xfId="4" applyNumberFormat="1" applyFont="1" applyAlignment="1">
      <alignment horizontal="right"/>
    </xf>
    <xf numFmtId="39" fontId="52" fillId="0" borderId="0" xfId="4" applyNumberFormat="1" applyFont="1" applyFill="1" applyAlignment="1">
      <alignment horizontal="right"/>
    </xf>
    <xf numFmtId="39" fontId="52" fillId="0" borderId="0" xfId="4" applyNumberFormat="1" applyFont="1" applyFill="1"/>
    <xf numFmtId="43" fontId="52" fillId="0" borderId="0" xfId="0" applyNumberFormat="1" applyFont="1" applyAlignment="1">
      <alignment horizontal="right"/>
    </xf>
    <xf numFmtId="43" fontId="59" fillId="0" borderId="0" xfId="4" applyFont="1" applyAlignment="1">
      <alignment horizontal="right"/>
    </xf>
    <xf numFmtId="0" fontId="52" fillId="0" borderId="0" xfId="0" applyFont="1" applyAlignment="1">
      <alignment horizontal="right"/>
    </xf>
    <xf numFmtId="43" fontId="65" fillId="0" borderId="0" xfId="4" applyFont="1" applyBorder="1" applyAlignment="1">
      <alignment horizontal="right"/>
    </xf>
    <xf numFmtId="43" fontId="58" fillId="8" borderId="7" xfId="0" applyNumberFormat="1" applyFont="1" applyFill="1" applyBorder="1" applyAlignment="1">
      <alignment horizontal="right"/>
    </xf>
    <xf numFmtId="4" fontId="52" fillId="0" borderId="9" xfId="4" applyNumberFormat="1" applyFont="1" applyBorder="1" applyAlignment="1">
      <alignment horizontal="right"/>
    </xf>
    <xf numFmtId="4" fontId="65" fillId="0" borderId="9" xfId="4" applyNumberFormat="1" applyFont="1" applyBorder="1" applyAlignment="1">
      <alignment horizontal="right"/>
    </xf>
    <xf numFmtId="4" fontId="66" fillId="0" borderId="9" xfId="4" applyNumberFormat="1" applyFont="1" applyBorder="1" applyAlignment="1">
      <alignment horizontal="right"/>
    </xf>
    <xf numFmtId="4" fontId="52" fillId="0" borderId="16" xfId="0" applyNumberFormat="1" applyFont="1" applyBorder="1" applyAlignment="1">
      <alignment horizontal="right"/>
    </xf>
    <xf numFmtId="4" fontId="52" fillId="0" borderId="16" xfId="4" applyNumberFormat="1" applyFont="1" applyBorder="1" applyAlignment="1">
      <alignment horizontal="right"/>
    </xf>
    <xf numFmtId="39" fontId="61" fillId="0" borderId="8" xfId="6" applyNumberFormat="1" applyFont="1" applyBorder="1" applyAlignment="1">
      <alignment horizontal="right"/>
    </xf>
    <xf numFmtId="39" fontId="61" fillId="0" borderId="9" xfId="6" applyNumberFormat="1" applyFont="1" applyBorder="1" applyAlignment="1">
      <alignment horizontal="right"/>
    </xf>
    <xf numFmtId="39" fontId="67" fillId="0" borderId="9" xfId="6" applyNumberFormat="1" applyFont="1" applyBorder="1" applyAlignment="1">
      <alignment horizontal="right"/>
    </xf>
    <xf numFmtId="39" fontId="68" fillId="0" borderId="9" xfId="6" applyNumberFormat="1" applyFont="1" applyBorder="1" applyAlignment="1">
      <alignment horizontal="right"/>
    </xf>
    <xf numFmtId="4" fontId="52" fillId="0" borderId="0" xfId="4" applyNumberFormat="1" applyFont="1" applyBorder="1" applyAlignment="1">
      <alignment horizontal="right"/>
    </xf>
    <xf numFmtId="43" fontId="52" fillId="0" borderId="8" xfId="4" applyFont="1" applyBorder="1" applyAlignment="1">
      <alignment horizontal="right"/>
    </xf>
    <xf numFmtId="43" fontId="52" fillId="0" borderId="9" xfId="4" applyFont="1" applyBorder="1" applyAlignment="1">
      <alignment horizontal="right"/>
    </xf>
    <xf numFmtId="43" fontId="65" fillId="0" borderId="9" xfId="4" applyFont="1" applyBorder="1" applyAlignment="1">
      <alignment horizontal="right"/>
    </xf>
    <xf numFmtId="0" fontId="58" fillId="0" borderId="11" xfId="73" applyFont="1" applyBorder="1" applyAlignment="1">
      <alignment horizontal="center" wrapText="1"/>
    </xf>
    <xf numFmtId="43" fontId="61" fillId="0" borderId="9" xfId="4" applyFont="1" applyFill="1" applyBorder="1"/>
    <xf numFmtId="43" fontId="67" fillId="0" borderId="36" xfId="4" applyFont="1" applyFill="1" applyBorder="1"/>
    <xf numFmtId="43" fontId="93" fillId="0" borderId="0" xfId="4" applyFont="1"/>
    <xf numFmtId="39" fontId="52" fillId="0" borderId="0" xfId="4" applyNumberFormat="1" applyFont="1"/>
    <xf numFmtId="4" fontId="71" fillId="0" borderId="0" xfId="0" applyNumberFormat="1" applyFont="1"/>
    <xf numFmtId="0" fontId="99" fillId="0" borderId="0" xfId="0" applyFont="1"/>
    <xf numFmtId="43" fontId="99" fillId="0" borderId="0" xfId="4" applyFont="1"/>
    <xf numFmtId="43" fontId="55" fillId="0" borderId="2" xfId="4" applyFont="1" applyFill="1" applyBorder="1"/>
    <xf numFmtId="43" fontId="100" fillId="0" borderId="4" xfId="4" applyFont="1" applyBorder="1"/>
    <xf numFmtId="43" fontId="100" fillId="0" borderId="4" xfId="4" applyFont="1" applyFill="1" applyBorder="1"/>
    <xf numFmtId="43" fontId="100" fillId="0" borderId="8" xfId="4" applyFont="1" applyBorder="1"/>
    <xf numFmtId="43" fontId="100" fillId="0" borderId="2" xfId="4" applyFont="1" applyFill="1" applyBorder="1"/>
    <xf numFmtId="43" fontId="100" fillId="0" borderId="2" xfId="4" applyFont="1" applyBorder="1"/>
    <xf numFmtId="43" fontId="101" fillId="0" borderId="2" xfId="4" applyFont="1" applyFill="1" applyBorder="1"/>
    <xf numFmtId="43" fontId="101" fillId="0" borderId="4" xfId="4" applyFont="1" applyFill="1" applyBorder="1"/>
    <xf numFmtId="43" fontId="101" fillId="0" borderId="2" xfId="4" applyFont="1" applyBorder="1"/>
    <xf numFmtId="43" fontId="101" fillId="0" borderId="8" xfId="4" applyFont="1" applyBorder="1"/>
    <xf numFmtId="43" fontId="102" fillId="0" borderId="2" xfId="4" applyFont="1" applyFill="1" applyBorder="1"/>
    <xf numFmtId="43" fontId="102" fillId="0" borderId="2" xfId="4" applyFont="1" applyBorder="1"/>
    <xf numFmtId="43" fontId="102" fillId="0" borderId="9" xfId="4" applyFont="1" applyBorder="1"/>
    <xf numFmtId="43" fontId="55" fillId="0" borderId="2" xfId="4" applyFont="1" applyBorder="1"/>
    <xf numFmtId="43" fontId="54" fillId="0" borderId="2" xfId="4" applyFont="1" applyFill="1" applyBorder="1"/>
    <xf numFmtId="43" fontId="54" fillId="0" borderId="9" xfId="4" applyFont="1" applyBorder="1"/>
    <xf numFmtId="43" fontId="54" fillId="0" borderId="2" xfId="4" applyFont="1" applyBorder="1"/>
    <xf numFmtId="43" fontId="55" fillId="0" borderId="4" xfId="4" applyFont="1" applyFill="1" applyBorder="1"/>
    <xf numFmtId="43" fontId="55" fillId="0" borderId="9" xfId="4" applyFont="1" applyBorder="1"/>
    <xf numFmtId="43" fontId="55" fillId="0" borderId="8" xfId="4" applyFont="1" applyBorder="1"/>
    <xf numFmtId="43" fontId="103" fillId="0" borderId="2" xfId="4" applyFont="1" applyFill="1" applyBorder="1"/>
    <xf numFmtId="43" fontId="103" fillId="0" borderId="4" xfId="4" applyFont="1" applyFill="1" applyBorder="1"/>
    <xf numFmtId="43" fontId="103" fillId="0" borderId="2" xfId="4" applyFont="1" applyBorder="1"/>
    <xf numFmtId="43" fontId="103" fillId="0" borderId="8" xfId="4" applyFont="1" applyBorder="1"/>
    <xf numFmtId="43" fontId="104" fillId="0" borderId="2" xfId="4" applyFont="1" applyFill="1" applyBorder="1" applyAlignment="1">
      <alignment wrapText="1"/>
    </xf>
    <xf numFmtId="43" fontId="104" fillId="0" borderId="2" xfId="4" applyFont="1" applyBorder="1" applyAlignment="1">
      <alignment wrapText="1"/>
    </xf>
    <xf numFmtId="43" fontId="104" fillId="0" borderId="9" xfId="4" applyFont="1" applyBorder="1" applyAlignment="1">
      <alignment wrapText="1"/>
    </xf>
    <xf numFmtId="43" fontId="104" fillId="0" borderId="2" xfId="4" applyFont="1" applyFill="1" applyBorder="1"/>
    <xf numFmtId="43" fontId="104" fillId="0" borderId="2" xfId="4" applyFont="1" applyBorder="1"/>
    <xf numFmtId="43" fontId="105" fillId="0" borderId="2" xfId="4" applyFont="1" applyFill="1" applyBorder="1"/>
    <xf numFmtId="43" fontId="105" fillId="0" borderId="2" xfId="4" applyFont="1" applyBorder="1"/>
    <xf numFmtId="43" fontId="105" fillId="0" borderId="9" xfId="4" applyFont="1" applyBorder="1"/>
    <xf numFmtId="43" fontId="55" fillId="0" borderId="17" xfId="4" applyFont="1" applyBorder="1"/>
    <xf numFmtId="43" fontId="55" fillId="0" borderId="17" xfId="4" applyFont="1" applyFill="1" applyBorder="1"/>
    <xf numFmtId="43" fontId="55" fillId="0" borderId="16" xfId="4" applyFont="1" applyBorder="1"/>
    <xf numFmtId="4" fontId="61" fillId="0" borderId="28" xfId="108" applyNumberFormat="1" applyFont="1" applyBorder="1"/>
    <xf numFmtId="4" fontId="7" fillId="0" borderId="0" xfId="109" applyNumberFormat="1"/>
    <xf numFmtId="0" fontId="55" fillId="0" borderId="0" xfId="0" applyFont="1" applyAlignment="1">
      <alignment horizontal="center"/>
    </xf>
    <xf numFmtId="0" fontId="52" fillId="0" borderId="0" xfId="0" applyFont="1" applyAlignment="1">
      <alignment horizontal="left" wrapText="1"/>
    </xf>
    <xf numFmtId="0" fontId="58" fillId="0" borderId="0" xfId="0" applyFont="1" applyAlignment="1">
      <alignment horizontal="left" vertical="center" wrapText="1"/>
    </xf>
    <xf numFmtId="0" fontId="52" fillId="0" borderId="10" xfId="18" applyFont="1" applyBorder="1" applyAlignment="1">
      <alignment wrapText="1"/>
    </xf>
    <xf numFmtId="0" fontId="58" fillId="4" borderId="5" xfId="0" applyFont="1" applyFill="1" applyBorder="1" applyAlignment="1">
      <alignment horizontal="center" vertical="center"/>
    </xf>
    <xf numFmtId="0" fontId="58" fillId="4" borderId="6" xfId="0" applyFont="1" applyFill="1" applyBorder="1" applyAlignment="1">
      <alignment horizontal="center" vertical="center"/>
    </xf>
    <xf numFmtId="0" fontId="58" fillId="4" borderId="0" xfId="0" applyFont="1" applyFill="1"/>
    <xf numFmtId="43" fontId="58" fillId="4" borderId="0" xfId="4" applyFont="1" applyFill="1"/>
    <xf numFmtId="43" fontId="65" fillId="0" borderId="8" xfId="4" applyFont="1" applyFill="1" applyBorder="1"/>
    <xf numFmtId="0" fontId="107" fillId="0" borderId="4" xfId="0" applyFont="1" applyBorder="1" applyAlignment="1">
      <alignment horizontal="left"/>
    </xf>
    <xf numFmtId="43" fontId="107" fillId="0" borderId="4" xfId="4" applyFont="1" applyBorder="1"/>
    <xf numFmtId="43" fontId="107" fillId="0" borderId="4" xfId="4" applyFont="1" applyFill="1" applyBorder="1"/>
    <xf numFmtId="0" fontId="107" fillId="0" borderId="2" xfId="0" applyFont="1" applyBorder="1" applyAlignment="1">
      <alignment horizontal="left" wrapText="1"/>
    </xf>
    <xf numFmtId="43" fontId="107" fillId="0" borderId="2" xfId="4" applyFont="1" applyBorder="1"/>
    <xf numFmtId="43" fontId="107" fillId="0" borderId="2" xfId="4" applyFont="1" applyFill="1" applyBorder="1"/>
    <xf numFmtId="0" fontId="106" fillId="0" borderId="2" xfId="0" applyFont="1" applyBorder="1"/>
    <xf numFmtId="0" fontId="106" fillId="0" borderId="2" xfId="0" applyFont="1" applyBorder="1" applyAlignment="1">
      <alignment wrapText="1"/>
    </xf>
    <xf numFmtId="0" fontId="107" fillId="0" borderId="2" xfId="0" applyFont="1" applyBorder="1" applyAlignment="1">
      <alignment horizontal="left" vertical="center" wrapText="1"/>
    </xf>
    <xf numFmtId="0" fontId="106" fillId="0" borderId="2" xfId="0" applyFont="1" applyBorder="1" applyAlignment="1">
      <alignment vertical="center" wrapText="1"/>
    </xf>
    <xf numFmtId="43" fontId="109" fillId="0" borderId="2" xfId="4" applyFont="1" applyBorder="1"/>
    <xf numFmtId="0" fontId="0" fillId="0" borderId="2" xfId="0" applyBorder="1"/>
    <xf numFmtId="43" fontId="110" fillId="0" borderId="2" xfId="4" applyFont="1" applyBorder="1"/>
    <xf numFmtId="0" fontId="111" fillId="11" borderId="2" xfId="0" applyFont="1" applyFill="1" applyBorder="1" applyAlignment="1">
      <alignment horizontal="center" vertical="center"/>
    </xf>
    <xf numFmtId="0" fontId="111" fillId="11" borderId="0" xfId="0" applyFont="1" applyFill="1" applyAlignment="1">
      <alignment horizontal="center" vertical="center"/>
    </xf>
    <xf numFmtId="43" fontId="112" fillId="0" borderId="0" xfId="4" applyFont="1" applyAlignment="1">
      <alignment horizontal="right"/>
    </xf>
    <xf numFmtId="0" fontId="111" fillId="11" borderId="2" xfId="0" applyFont="1" applyFill="1" applyBorder="1" applyAlignment="1">
      <alignment horizontal="center" vertical="center" wrapText="1"/>
    </xf>
    <xf numFmtId="0" fontId="0" fillId="5" borderId="0" xfId="0" applyFill="1"/>
    <xf numFmtId="43" fontId="113" fillId="5" borderId="0" xfId="4" applyFont="1" applyFill="1" applyAlignment="1">
      <alignment horizontal="right"/>
    </xf>
    <xf numFmtId="0" fontId="114" fillId="0" borderId="0" xfId="0" applyFont="1"/>
    <xf numFmtId="43" fontId="115" fillId="0" borderId="51" xfId="4" applyFont="1" applyBorder="1"/>
    <xf numFmtId="43" fontId="63" fillId="12" borderId="7" xfId="4" applyFont="1" applyFill="1" applyBorder="1"/>
    <xf numFmtId="0" fontId="69" fillId="0" borderId="4" xfId="0" applyFont="1" applyBorder="1"/>
    <xf numFmtId="4" fontId="5" fillId="0" borderId="0" xfId="112" applyNumberFormat="1"/>
    <xf numFmtId="0" fontId="80" fillId="11" borderId="0" xfId="0" applyFont="1" applyFill="1" applyAlignment="1">
      <alignment horizontal="center"/>
    </xf>
    <xf numFmtId="4" fontId="91" fillId="0" borderId="0" xfId="113" applyNumberFormat="1" applyFont="1"/>
    <xf numFmtId="4" fontId="4" fillId="0" borderId="0" xfId="113" applyNumberFormat="1"/>
    <xf numFmtId="0" fontId="4" fillId="0" borderId="0" xfId="113"/>
    <xf numFmtId="43" fontId="56" fillId="0" borderId="0" xfId="0" applyNumberFormat="1" applyFont="1"/>
    <xf numFmtId="43" fontId="61" fillId="0" borderId="11" xfId="6" applyFont="1" applyBorder="1" applyAlignment="1">
      <alignment horizontal="right"/>
    </xf>
    <xf numFmtId="43" fontId="88" fillId="0" borderId="0" xfId="4" applyFont="1" applyAlignment="1">
      <alignment horizontal="right"/>
    </xf>
    <xf numFmtId="43" fontId="113" fillId="5" borderId="1" xfId="4" applyFont="1" applyFill="1" applyBorder="1" applyAlignment="1">
      <alignment horizontal="right"/>
    </xf>
    <xf numFmtId="0" fontId="110" fillId="5" borderId="0" xfId="0" applyFont="1" applyFill="1"/>
    <xf numFmtId="0" fontId="110" fillId="0" borderId="0" xfId="0" applyFont="1"/>
    <xf numFmtId="43" fontId="116" fillId="0" borderId="0" xfId="0" applyNumberFormat="1" applyFont="1"/>
    <xf numFmtId="43" fontId="1" fillId="0" borderId="0" xfId="119" applyFont="1" applyAlignment="1">
      <alignment horizontal="right"/>
    </xf>
    <xf numFmtId="43" fontId="1" fillId="0" borderId="0" xfId="82" applyFont="1" applyAlignment="1">
      <alignment horizontal="right"/>
    </xf>
    <xf numFmtId="43" fontId="1" fillId="0" borderId="0" xfId="82" applyFont="1" applyFill="1" applyAlignment="1">
      <alignment horizontal="right"/>
    </xf>
    <xf numFmtId="43" fontId="1" fillId="0" borderId="0" xfId="92" applyFont="1" applyAlignment="1">
      <alignment horizontal="right"/>
    </xf>
    <xf numFmtId="43" fontId="1" fillId="0" borderId="0" xfId="4" applyFont="1" applyAlignment="1">
      <alignment horizontal="right"/>
    </xf>
    <xf numFmtId="43" fontId="1" fillId="0" borderId="0" xfId="111" applyFont="1" applyAlignment="1">
      <alignment horizontal="right"/>
    </xf>
    <xf numFmtId="43" fontId="1" fillId="0" borderId="0" xfId="89" applyFont="1" applyFill="1"/>
    <xf numFmtId="43" fontId="1" fillId="0" borderId="0" xfId="99" applyFont="1"/>
    <xf numFmtId="43" fontId="1" fillId="0" borderId="0" xfId="116" applyFont="1" applyAlignment="1">
      <alignment horizontal="right"/>
    </xf>
    <xf numFmtId="43" fontId="1" fillId="0" borderId="0" xfId="97" applyFont="1"/>
    <xf numFmtId="0" fontId="1" fillId="0" borderId="0" xfId="90" applyFont="1"/>
    <xf numFmtId="0" fontId="1" fillId="0" borderId="0" xfId="90" applyFont="1" applyAlignment="1">
      <alignment horizontal="right"/>
    </xf>
    <xf numFmtId="43" fontId="1" fillId="0" borderId="0" xfId="4" applyFont="1"/>
    <xf numFmtId="43" fontId="1" fillId="0" borderId="0" xfId="114" applyFont="1"/>
    <xf numFmtId="43" fontId="52" fillId="0" borderId="0" xfId="4" applyFont="1" applyAlignment="1">
      <alignment horizontal="center"/>
    </xf>
    <xf numFmtId="0" fontId="54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49" fontId="54" fillId="0" borderId="0" xfId="0" applyNumberFormat="1" applyFont="1" applyAlignment="1" applyProtection="1">
      <alignment horizontal="center"/>
      <protection locked="0"/>
    </xf>
    <xf numFmtId="166" fontId="55" fillId="0" borderId="0" xfId="0" applyNumberFormat="1" applyFont="1" applyAlignment="1" applyProtection="1">
      <alignment horizontal="center"/>
      <protection locked="0"/>
    </xf>
    <xf numFmtId="0" fontId="58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43" fontId="58" fillId="0" borderId="0" xfId="4" applyFont="1" applyAlignment="1">
      <alignment horizontal="center"/>
    </xf>
    <xf numFmtId="0" fontId="58" fillId="0" borderId="0" xfId="0" applyFont="1" applyAlignment="1">
      <alignment horizontal="center" vertical="top"/>
    </xf>
    <xf numFmtId="0" fontId="52" fillId="0" borderId="0" xfId="0" applyFont="1" applyAlignment="1">
      <alignment horizontal="center" vertical="top"/>
    </xf>
    <xf numFmtId="43" fontId="58" fillId="0" borderId="0" xfId="4" applyFont="1" applyAlignment="1">
      <alignment horizontal="center" vertical="top"/>
    </xf>
    <xf numFmtId="43" fontId="52" fillId="0" borderId="0" xfId="4" applyFont="1" applyAlignment="1">
      <alignment horizontal="center" vertical="top"/>
    </xf>
    <xf numFmtId="49" fontId="54" fillId="7" borderId="40" xfId="0" applyNumberFormat="1" applyFont="1" applyFill="1" applyBorder="1" applyAlignment="1">
      <alignment horizontal="center"/>
    </xf>
    <xf numFmtId="49" fontId="54" fillId="7" borderId="39" xfId="0" applyNumberFormat="1" applyFont="1" applyFill="1" applyBorder="1" applyAlignment="1">
      <alignment horizontal="center"/>
    </xf>
    <xf numFmtId="0" fontId="53" fillId="0" borderId="29" xfId="0" applyFont="1" applyBorder="1" applyAlignment="1">
      <alignment horizontal="center" vertical="center" wrapText="1"/>
    </xf>
    <xf numFmtId="0" fontId="53" fillId="0" borderId="28" xfId="0" applyFont="1" applyBorder="1" applyAlignment="1">
      <alignment horizontal="center" vertical="center" wrapText="1"/>
    </xf>
    <xf numFmtId="0" fontId="53" fillId="0" borderId="4" xfId="0" applyFont="1" applyBorder="1" applyAlignment="1">
      <alignment horizontal="center" vertical="center" wrapText="1"/>
    </xf>
    <xf numFmtId="172" fontId="58" fillId="0" borderId="0" xfId="0" applyNumberFormat="1" applyFont="1" applyAlignment="1">
      <alignment horizontal="center"/>
    </xf>
    <xf numFmtId="0" fontId="106" fillId="0" borderId="28" xfId="0" applyFont="1" applyBorder="1" applyAlignment="1">
      <alignment horizontal="center" wrapText="1"/>
    </xf>
    <xf numFmtId="0" fontId="106" fillId="0" borderId="4" xfId="0" applyFont="1" applyBorder="1" applyAlignment="1">
      <alignment horizontal="center" wrapText="1"/>
    </xf>
    <xf numFmtId="0" fontId="58" fillId="4" borderId="30" xfId="0" applyFont="1" applyFill="1" applyBorder="1" applyAlignment="1">
      <alignment horizontal="center" vertical="center" wrapText="1"/>
    </xf>
    <xf numFmtId="0" fontId="58" fillId="4" borderId="19" xfId="0" applyFont="1" applyFill="1" applyBorder="1" applyAlignment="1">
      <alignment horizontal="center" vertical="center" wrapText="1"/>
    </xf>
    <xf numFmtId="0" fontId="58" fillId="4" borderId="14" xfId="0" applyFont="1" applyFill="1" applyBorder="1" applyAlignment="1">
      <alignment horizontal="center" vertical="center" wrapText="1"/>
    </xf>
    <xf numFmtId="0" fontId="58" fillId="4" borderId="17" xfId="0" applyFont="1" applyFill="1" applyBorder="1" applyAlignment="1">
      <alignment horizontal="center" vertical="center" wrapText="1"/>
    </xf>
    <xf numFmtId="0" fontId="58" fillId="4" borderId="43" xfId="0" applyFont="1" applyFill="1" applyBorder="1" applyAlignment="1">
      <alignment horizontal="center" vertical="center" wrapText="1"/>
    </xf>
    <xf numFmtId="0" fontId="58" fillId="4" borderId="44" xfId="0" applyFont="1" applyFill="1" applyBorder="1" applyAlignment="1">
      <alignment horizontal="center" vertical="center" wrapText="1"/>
    </xf>
    <xf numFmtId="0" fontId="63" fillId="0" borderId="0" xfId="0" applyFont="1" applyAlignment="1">
      <alignment horizontal="center"/>
    </xf>
    <xf numFmtId="173" fontId="63" fillId="0" borderId="0" xfId="0" applyNumberFormat="1" applyFont="1" applyAlignment="1">
      <alignment horizontal="center"/>
    </xf>
    <xf numFmtId="0" fontId="58" fillId="0" borderId="0" xfId="0" applyFont="1" applyAlignment="1">
      <alignment horizontal="center" wrapText="1"/>
    </xf>
    <xf numFmtId="0" fontId="58" fillId="4" borderId="52" xfId="0" applyFont="1" applyFill="1" applyBorder="1" applyAlignment="1">
      <alignment horizontal="center"/>
    </xf>
    <xf numFmtId="0" fontId="58" fillId="4" borderId="39" xfId="0" applyFont="1" applyFill="1" applyBorder="1" applyAlignment="1">
      <alignment horizontal="center"/>
    </xf>
    <xf numFmtId="173" fontId="58" fillId="0" borderId="0" xfId="0" applyNumberFormat="1" applyFont="1" applyAlignment="1">
      <alignment horizontal="center"/>
    </xf>
    <xf numFmtId="0" fontId="53" fillId="0" borderId="0" xfId="0" applyFont="1" applyAlignment="1">
      <alignment horizontal="center"/>
    </xf>
    <xf numFmtId="0" fontId="64" fillId="0" borderId="0" xfId="0" applyFont="1" applyAlignment="1">
      <alignment horizontal="center"/>
    </xf>
    <xf numFmtId="0" fontId="94" fillId="9" borderId="45" xfId="0" applyFont="1" applyFill="1" applyBorder="1" applyAlignment="1">
      <alignment horizontal="center" vertical="center"/>
    </xf>
    <xf numFmtId="0" fontId="94" fillId="9" borderId="46" xfId="0" applyFont="1" applyFill="1" applyBorder="1" applyAlignment="1">
      <alignment horizontal="center" vertical="center"/>
    </xf>
    <xf numFmtId="0" fontId="94" fillId="9" borderId="48" xfId="0" applyFont="1" applyFill="1" applyBorder="1" applyAlignment="1">
      <alignment horizontal="center" vertical="center"/>
    </xf>
    <xf numFmtId="0" fontId="94" fillId="9" borderId="49" xfId="0" applyFont="1" applyFill="1" applyBorder="1" applyAlignment="1">
      <alignment horizontal="center" vertical="center"/>
    </xf>
    <xf numFmtId="0" fontId="80" fillId="0" borderId="0" xfId="0" applyFont="1" applyAlignment="1">
      <alignment horizontal="center"/>
    </xf>
    <xf numFmtId="0" fontId="58" fillId="0" borderId="0" xfId="73" applyFont="1" applyAlignment="1">
      <alignment horizontal="center"/>
    </xf>
    <xf numFmtId="173" fontId="58" fillId="0" borderId="0" xfId="73" applyNumberFormat="1" applyFont="1" applyAlignment="1">
      <alignment horizontal="center"/>
    </xf>
    <xf numFmtId="0" fontId="58" fillId="0" borderId="0" xfId="73" applyFont="1" applyAlignment="1">
      <alignment horizontal="center" vertical="center"/>
    </xf>
  </cellXfs>
  <cellStyles count="120">
    <cellStyle name="Comma 2" xfId="1" xr:uid="{00000000-0005-0000-0000-000000000000}"/>
    <cellStyle name="Comma 2 2" xfId="2" xr:uid="{00000000-0005-0000-0000-000001000000}"/>
    <cellStyle name="Comma 3" xfId="3" xr:uid="{00000000-0005-0000-0000-000002000000}"/>
    <cellStyle name="Hipervínculo" xfId="71" builtinId="8"/>
    <cellStyle name="Millares" xfId="4" builtinId="3"/>
    <cellStyle name="Millares 10" xfId="37" xr:uid="{D55D6799-BD76-4726-ACE6-B1A828065071}"/>
    <cellStyle name="Millares 10 2" xfId="58" xr:uid="{4B8F86F0-49DB-499A-A127-7D9750FD6D38}"/>
    <cellStyle name="Millares 11" xfId="39" xr:uid="{5B5B509D-9AB8-4DF4-9881-A5AD4E3C9292}"/>
    <cellStyle name="Millares 11 2" xfId="60" xr:uid="{E47AF4B6-51AF-4C58-90E1-485FA4EAD385}"/>
    <cellStyle name="Millares 12" xfId="41" xr:uid="{BAEB21BB-AEC4-4D3C-AD60-57CAEB64DB96}"/>
    <cellStyle name="Millares 12 2" xfId="62" xr:uid="{92523BE6-C024-4D2E-9E25-F311D1958EA0}"/>
    <cellStyle name="Millares 13" xfId="45" xr:uid="{A2BC0D4F-BE36-48E5-B8FE-275FEC761914}"/>
    <cellStyle name="Millares 14" xfId="47" xr:uid="{C434BAC0-B2B3-4518-84FE-EB910D2AFD49}"/>
    <cellStyle name="Millares 15" xfId="66" xr:uid="{8315EAE2-E517-4E66-9A03-1D95CA0D9FCB}"/>
    <cellStyle name="Millares 16" xfId="75" xr:uid="{C94D45F6-1FE7-4097-BA72-B395456528B7}"/>
    <cellStyle name="Millares 17" xfId="80" xr:uid="{C2D5CE2F-F934-41B6-9AB1-94777B34A68A}"/>
    <cellStyle name="Millares 18" xfId="82" xr:uid="{90519D43-C2B2-44B4-92EA-156AF5041D5F}"/>
    <cellStyle name="Millares 19" xfId="84" xr:uid="{D23D0A56-612B-41F8-8311-1BC3AEC86473}"/>
    <cellStyle name="Millares 2" xfId="5" xr:uid="{00000000-0005-0000-0000-000004000000}"/>
    <cellStyle name="Millares 2 2" xfId="6" xr:uid="{00000000-0005-0000-0000-000005000000}"/>
    <cellStyle name="Millares 2 2 2" xfId="48" xr:uid="{3D3F3942-3724-4E47-8FEF-58B8F7600C38}"/>
    <cellStyle name="Millares 2 3" xfId="104" xr:uid="{3DCF24F5-E14E-4678-9585-ED34AE5479E2}"/>
    <cellStyle name="Millares 20" xfId="89" xr:uid="{32AC816D-2D22-4B3F-B120-5A2F123CE6A3}"/>
    <cellStyle name="Millares 21" xfId="92" xr:uid="{029046C6-9E24-4CD4-9025-FE3E564C082F}"/>
    <cellStyle name="Millares 22" xfId="94" xr:uid="{B19C83B2-C254-4128-B5FF-6DEA0DCB56A1}"/>
    <cellStyle name="Millares 23" xfId="97" xr:uid="{CC0BE51A-DE50-4486-B47A-9582AFCAD003}"/>
    <cellStyle name="Millares 24" xfId="99" xr:uid="{D69E24A2-9B29-47B7-BFB5-34D2E9D7B2B0}"/>
    <cellStyle name="Millares 25" xfId="101" xr:uid="{5F6854C2-801E-4A89-865C-FCACEDA07700}"/>
    <cellStyle name="Millares 26" xfId="103" xr:uid="{610A5C84-8C79-46B9-89B4-A85C95CC0A78}"/>
    <cellStyle name="Millares 27" xfId="107" xr:uid="{23B8A0A4-0CA0-4F34-99CB-305484206450}"/>
    <cellStyle name="Millares 28" xfId="111" xr:uid="{716665AC-3E85-42C9-BD62-9F4F94638E4B}"/>
    <cellStyle name="Millares 29" xfId="114" xr:uid="{1EEF75EA-41A1-43A6-93F5-2A3116F0A5AA}"/>
    <cellStyle name="Millares 3" xfId="7" xr:uid="{00000000-0005-0000-0000-000006000000}"/>
    <cellStyle name="Millares 3 2" xfId="8" xr:uid="{00000000-0005-0000-0000-000007000000}"/>
    <cellStyle name="Millares 3 3" xfId="49" xr:uid="{2162B24E-46A6-41C2-9F5E-146B52AC2F23}"/>
    <cellStyle name="Millares 30" xfId="116" xr:uid="{C7E1DAE8-9FE7-42A2-B7C5-671C0EB9B84E}"/>
    <cellStyle name="Millares 31" xfId="119" xr:uid="{BDFD042F-B23D-4184-A08B-EF90A9826A2C}"/>
    <cellStyle name="Millares 4" xfId="9" xr:uid="{00000000-0005-0000-0000-000008000000}"/>
    <cellStyle name="Millares 4 2" xfId="50" xr:uid="{437B2D42-4C88-43BF-8725-9B2E20FF7969}"/>
    <cellStyle name="Millares 5" xfId="10" xr:uid="{00000000-0005-0000-0000-000009000000}"/>
    <cellStyle name="Millares 6" xfId="11" xr:uid="{00000000-0005-0000-0000-00000A000000}"/>
    <cellStyle name="Millares 7" xfId="12" xr:uid="{00000000-0005-0000-0000-00000B000000}"/>
    <cellStyle name="Millares 8" xfId="13" xr:uid="{00000000-0005-0000-0000-00000C000000}"/>
    <cellStyle name="Millares 9" xfId="35" xr:uid="{3941AF9B-A336-4620-AF81-8C657CC57506}"/>
    <cellStyle name="Millares 9 2" xfId="56" xr:uid="{3C4EBC09-3968-4A32-91F4-6A964129F84B}"/>
    <cellStyle name="Neutral" xfId="14" builtinId="28" customBuiltin="1"/>
    <cellStyle name="Neutral 2" xfId="15" xr:uid="{00000000-0005-0000-0000-00000E000000}"/>
    <cellStyle name="Neutral 3" xfId="16" xr:uid="{00000000-0005-0000-0000-00000F000000}"/>
    <cellStyle name="Neutral 4" xfId="17" xr:uid="{00000000-0005-0000-0000-000010000000}"/>
    <cellStyle name="Neutral 5" xfId="51" xr:uid="{D50E872E-0A51-45F8-8951-AE33D4734264}"/>
    <cellStyle name="Normal" xfId="0" builtinId="0"/>
    <cellStyle name="Normal 10" xfId="34" xr:uid="{E04F89B1-EF61-4914-BE1D-A1E329EE39E7}"/>
    <cellStyle name="Normal 10 2" xfId="55" xr:uid="{31BCE0C6-972A-4667-9990-B6DD85AF5F9E}"/>
    <cellStyle name="Normal 11" xfId="36" xr:uid="{EDB1C418-3321-4737-AC24-AF2AE5DB851E}"/>
    <cellStyle name="Normal 11 2" xfId="57" xr:uid="{ABF60EF6-76F1-4CE3-920E-B0175DBB6D30}"/>
    <cellStyle name="Normal 12" xfId="38" xr:uid="{6474D8C7-2DE9-49EB-82E3-C4D36D311CBE}"/>
    <cellStyle name="Normal 12 2" xfId="59" xr:uid="{B39D459C-660D-4F5A-9CCF-1B574A7D9334}"/>
    <cellStyle name="Normal 13" xfId="40" xr:uid="{1E46AC84-C99B-4EA2-A02F-EF8081FE2A6C}"/>
    <cellStyle name="Normal 13 2" xfId="61" xr:uid="{980C3498-99E5-4F3F-B153-D8B4E7EAE751}"/>
    <cellStyle name="Normal 14" xfId="42" xr:uid="{0CFDF507-0FDD-48B5-BC4C-838E0110546E}"/>
    <cellStyle name="Normal 14 2" xfId="63" xr:uid="{18FC5DC5-5304-4BA6-A817-CB2AA992D259}"/>
    <cellStyle name="Normal 15" xfId="44" xr:uid="{A0636C0B-2857-4AAB-A8CE-C0860B85E462}"/>
    <cellStyle name="Normal 16" xfId="46" xr:uid="{1F52BDE2-3493-4F96-BBE2-BE15ECA121ED}"/>
    <cellStyle name="Normal 17" xfId="65" xr:uid="{38455323-2778-4DD5-B70E-091ABDBA667A}"/>
    <cellStyle name="Normal 18" xfId="67" xr:uid="{A3D0F39C-7CD5-43D5-AE02-F71CBA12128D}"/>
    <cellStyle name="Normal 19" xfId="68" xr:uid="{722C0F25-6439-46AA-8C11-7AAC6575BF45}"/>
    <cellStyle name="Normal 2" xfId="18" xr:uid="{00000000-0005-0000-0000-000012000000}"/>
    <cellStyle name="Normal 2 2" xfId="19" xr:uid="{00000000-0005-0000-0000-000013000000}"/>
    <cellStyle name="Normal 2 3" xfId="52" xr:uid="{25F5EF07-2880-40AF-8031-4324C2E75C6D}"/>
    <cellStyle name="Normal 20" xfId="69" xr:uid="{0A3EA1A7-17CE-4475-ABA9-1EC22DEC391E}"/>
    <cellStyle name="Normal 21" xfId="70" xr:uid="{D7D0A16A-D249-4DF2-914B-FCA6C7BF012C}"/>
    <cellStyle name="Normal 22" xfId="72" xr:uid="{69E254AD-17B2-4EDB-B4CB-4D5C4AD004E9}"/>
    <cellStyle name="Normal 23" xfId="73" xr:uid="{02E882ED-F88D-4E72-9581-5A9200992F0F}"/>
    <cellStyle name="Normal 24" xfId="74" xr:uid="{8386891C-F52F-4869-A770-8B835B4D1B16}"/>
    <cellStyle name="Normal 25" xfId="76" xr:uid="{92FF0303-4385-4E5D-AE26-32251776F3A4}"/>
    <cellStyle name="Normal 26" xfId="77" xr:uid="{2D57C5A9-25B9-443B-BA72-CD910F4A207A}"/>
    <cellStyle name="Normal 27" xfId="78" xr:uid="{91279FDA-5433-41C2-93E4-0474D4606355}"/>
    <cellStyle name="Normal 28" xfId="79" xr:uid="{68164A4A-D04E-4667-B4B4-078940DE8E98}"/>
    <cellStyle name="Normal 29" xfId="81" xr:uid="{6026E065-E7F9-4C95-9CC2-456E0C3874E4}"/>
    <cellStyle name="Normal 3" xfId="20" xr:uid="{00000000-0005-0000-0000-000014000000}"/>
    <cellStyle name="Normal 3 2" xfId="21" xr:uid="{00000000-0005-0000-0000-000015000000}"/>
    <cellStyle name="Normal 30" xfId="83" xr:uid="{B2A23DC0-2BE1-4825-855E-7232814C84AB}"/>
    <cellStyle name="Normal 31" xfId="85" xr:uid="{4A1A3462-277F-4DF6-9BBE-0E60A1466CFB}"/>
    <cellStyle name="Normal 32" xfId="86" xr:uid="{503FCC98-F518-4BD9-AED2-608C30B091E7}"/>
    <cellStyle name="Normal 33" xfId="87" xr:uid="{6EA8695C-63B1-4B22-A082-F5B8A22DBB5C}"/>
    <cellStyle name="Normal 34" xfId="88" xr:uid="{E2E5EE60-DB31-4290-AE8B-EC5DB86E2DE8}"/>
    <cellStyle name="Normal 35" xfId="90" xr:uid="{729209BA-35F8-446F-A2D1-0AE9AEF0BCF5}"/>
    <cellStyle name="Normal 36" xfId="91" xr:uid="{031C6E6E-778B-445C-B89E-90D9FAF085BF}"/>
    <cellStyle name="Normal 37" xfId="93" xr:uid="{B59A7B26-31F7-4E1C-9E0E-18D4F41BC1B6}"/>
    <cellStyle name="Normal 38" xfId="95" xr:uid="{3A9D785D-F97E-4FD7-B11B-B6DC1E1C7132}"/>
    <cellStyle name="Normal 39" xfId="96" xr:uid="{AF4E2B33-5F45-42A9-8363-E693C4492C9A}"/>
    <cellStyle name="Normal 4" xfId="22" xr:uid="{00000000-0005-0000-0000-000016000000}"/>
    <cellStyle name="Normal 4 2" xfId="105" xr:uid="{F83DAAC9-335F-4B15-A9EE-11C1BA141C52}"/>
    <cellStyle name="Normal 40" xfId="98" xr:uid="{06413C40-90DB-43DD-BFFE-BE565C770A60}"/>
    <cellStyle name="Normal 41" xfId="100" xr:uid="{91F0F732-DB2A-469E-BAA1-E0A229B5C1F6}"/>
    <cellStyle name="Normal 42" xfId="102" xr:uid="{E947A599-837B-4EAD-87AD-778208F24390}"/>
    <cellStyle name="Normal 43" xfId="106" xr:uid="{4DE510E4-C649-4BF7-BA27-E2197C4CEE53}"/>
    <cellStyle name="Normal 44" xfId="108" xr:uid="{7CB1A869-2049-4CDF-BE9A-C43B7E6D4DE0}"/>
    <cellStyle name="Normal 45" xfId="109" xr:uid="{93F21555-EFB3-4302-9244-D9E0E498DF36}"/>
    <cellStyle name="Normal 46" xfId="110" xr:uid="{102AEE49-68F6-4F47-916F-C71F61229F42}"/>
    <cellStyle name="Normal 47" xfId="112" xr:uid="{7C2CC7F7-1F72-4338-8FF3-1A5129B58AB6}"/>
    <cellStyle name="Normal 48" xfId="113" xr:uid="{6E86CE84-A453-48C6-8A02-9F931393F417}"/>
    <cellStyle name="Normal 49" xfId="115" xr:uid="{00B18183-3E71-4CBD-929A-2FAA1643D14E}"/>
    <cellStyle name="Normal 5" xfId="23" xr:uid="{00000000-0005-0000-0000-000017000000}"/>
    <cellStyle name="Normal 50" xfId="117" xr:uid="{4FD3C820-C82B-479A-83AA-249BC019411A}"/>
    <cellStyle name="Normal 51" xfId="118" xr:uid="{C6B8CB16-6B83-42C5-A4F5-3D6B6672D8F0}"/>
    <cellStyle name="Normal 6" xfId="24" xr:uid="{00000000-0005-0000-0000-000018000000}"/>
    <cellStyle name="Normal 7" xfId="25" xr:uid="{00000000-0005-0000-0000-000019000000}"/>
    <cellStyle name="Normal 8" xfId="26" xr:uid="{00000000-0005-0000-0000-00001A000000}"/>
    <cellStyle name="Normal 9" xfId="27" xr:uid="{00000000-0005-0000-0000-00001B000000}"/>
    <cellStyle name="Normal 9 2" xfId="28" xr:uid="{00000000-0005-0000-0000-00001C000000}"/>
    <cellStyle name="Notas 2" xfId="29" xr:uid="{00000000-0005-0000-0000-00001D000000}"/>
    <cellStyle name="Notas 3" xfId="30" xr:uid="{00000000-0005-0000-0000-00001E000000}"/>
    <cellStyle name="Notas 3 2" xfId="53" xr:uid="{510070E2-7F9B-4A88-A7AE-8D34DB12ADC5}"/>
    <cellStyle name="Porcentaje" xfId="43" builtinId="5"/>
    <cellStyle name="Porcentaje 2" xfId="31" xr:uid="{00000000-0005-0000-0000-00001F000000}"/>
    <cellStyle name="Porcentaje 2 2" xfId="54" xr:uid="{C1EE2176-2734-455F-9339-7690A795A6E8}"/>
    <cellStyle name="Porcentaje 3" xfId="64" xr:uid="{7BCF2219-F659-4C58-8683-05B7FA979DE7}"/>
    <cellStyle name="Título 4" xfId="32" xr:uid="{00000000-0005-0000-0000-000020000000}"/>
    <cellStyle name="Total" xfId="33" builtinId="25" customBuiltin="1"/>
  </cellStyles>
  <dxfs count="0"/>
  <tableStyles count="0" defaultTableStyle="TableStyleMedium9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42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3.png"/><Relationship Id="rId1" Type="http://schemas.openxmlformats.org/officeDocument/2006/relationships/image" Target="../media/image22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3.png"/><Relationship Id="rId1" Type="http://schemas.openxmlformats.org/officeDocument/2006/relationships/image" Target="../media/image2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0</xdr:col>
      <xdr:colOff>2971800</xdr:colOff>
      <xdr:row>4</xdr:row>
      <xdr:rowOff>47625</xdr:rowOff>
    </xdr:to>
    <xdr:pic>
      <xdr:nvPicPr>
        <xdr:cNvPr id="122639" name="Imagen 5">
          <a:extLst>
            <a:ext uri="{FF2B5EF4-FFF2-40B4-BE49-F238E27FC236}">
              <a16:creationId xmlns:a16="http://schemas.microsoft.com/office/drawing/2014/main" id="{FBB8FFAC-DAD7-B40B-D2EC-849F44E6CA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29718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685511</xdr:colOff>
      <xdr:row>54</xdr:row>
      <xdr:rowOff>108047</xdr:rowOff>
    </xdr:from>
    <xdr:to>
      <xdr:col>0</xdr:col>
      <xdr:colOff>2868068</xdr:colOff>
      <xdr:row>54</xdr:row>
      <xdr:rowOff>126337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75DEB648-15A2-4642-9AF7-FF90C6FB6E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5511" y="11453380"/>
          <a:ext cx="2182557" cy="18290"/>
        </a:xfrm>
        <a:prstGeom prst="rect">
          <a:avLst/>
        </a:prstGeom>
      </xdr:spPr>
    </xdr:pic>
    <xdr:clientData/>
  </xdr:twoCellAnchor>
  <xdr:twoCellAnchor editAs="oneCell">
    <xdr:from>
      <xdr:col>1</xdr:col>
      <xdr:colOff>332991</xdr:colOff>
      <xdr:row>60</xdr:row>
      <xdr:rowOff>162791</xdr:rowOff>
    </xdr:from>
    <xdr:to>
      <xdr:col>2</xdr:col>
      <xdr:colOff>1848798</xdr:colOff>
      <xdr:row>60</xdr:row>
      <xdr:rowOff>181081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299C9B41-073E-4008-BCD3-CE5E31FEC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4908" y="12725208"/>
          <a:ext cx="2182557" cy="18290"/>
        </a:xfrm>
        <a:prstGeom prst="rect">
          <a:avLst/>
        </a:prstGeom>
      </xdr:spPr>
    </xdr:pic>
    <xdr:clientData/>
  </xdr:twoCellAnchor>
  <xdr:twoCellAnchor editAs="oneCell">
    <xdr:from>
      <xdr:col>3</xdr:col>
      <xdr:colOff>672041</xdr:colOff>
      <xdr:row>54</xdr:row>
      <xdr:rowOff>122767</xdr:rowOff>
    </xdr:from>
    <xdr:to>
      <xdr:col>4</xdr:col>
      <xdr:colOff>886099</xdr:colOff>
      <xdr:row>54</xdr:row>
      <xdr:rowOff>141057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A4EC188-DC06-467F-984C-E5D2A46B20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25708" y="11468100"/>
          <a:ext cx="2171974" cy="1829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38100</xdr:rowOff>
    </xdr:from>
    <xdr:to>
      <xdr:col>2</xdr:col>
      <xdr:colOff>914400</xdr:colOff>
      <xdr:row>1</xdr:row>
      <xdr:rowOff>238125</xdr:rowOff>
    </xdr:to>
    <xdr:pic>
      <xdr:nvPicPr>
        <xdr:cNvPr id="111142" name="Imagen 5">
          <a:extLst>
            <a:ext uri="{FF2B5EF4-FFF2-40B4-BE49-F238E27FC236}">
              <a16:creationId xmlns:a16="http://schemas.microsoft.com/office/drawing/2014/main" id="{4E642CD8-AE2F-6148-B158-8F827AD10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8100"/>
          <a:ext cx="19335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28575</xdr:rowOff>
    </xdr:from>
    <xdr:to>
      <xdr:col>1</xdr:col>
      <xdr:colOff>1981200</xdr:colOff>
      <xdr:row>2</xdr:row>
      <xdr:rowOff>228600</xdr:rowOff>
    </xdr:to>
    <xdr:pic>
      <xdr:nvPicPr>
        <xdr:cNvPr id="125042" name="Imagen 5">
          <a:extLst>
            <a:ext uri="{FF2B5EF4-FFF2-40B4-BE49-F238E27FC236}">
              <a16:creationId xmlns:a16="http://schemas.microsoft.com/office/drawing/2014/main" id="{E4A63FC3-962F-B871-4424-7086795C7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90500"/>
          <a:ext cx="19335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1562100</xdr:colOff>
      <xdr:row>1</xdr:row>
      <xdr:rowOff>209550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6F280ABA-122E-77FA-5818-1F29A79BB6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57150</xdr:rowOff>
    </xdr:from>
    <xdr:to>
      <xdr:col>1</xdr:col>
      <xdr:colOff>2162175</xdr:colOff>
      <xdr:row>2</xdr:row>
      <xdr:rowOff>9525</xdr:rowOff>
    </xdr:to>
    <xdr:pic>
      <xdr:nvPicPr>
        <xdr:cNvPr id="106032" name="Imagen 5">
          <a:extLst>
            <a:ext uri="{FF2B5EF4-FFF2-40B4-BE49-F238E27FC236}">
              <a16:creationId xmlns:a16="http://schemas.microsoft.com/office/drawing/2014/main" id="{D9A7D43C-C7F7-8B16-5F95-500BFD2E3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7150"/>
          <a:ext cx="21240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0</xdr:row>
      <xdr:rowOff>76201</xdr:rowOff>
    </xdr:from>
    <xdr:to>
      <xdr:col>1</xdr:col>
      <xdr:colOff>1809750</xdr:colOff>
      <xdr:row>2</xdr:row>
      <xdr:rowOff>27380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5B75407B-3ACC-8C68-0B55-3A33BB7EB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1" y="76201"/>
          <a:ext cx="1724024" cy="579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85725</xdr:rowOff>
    </xdr:from>
    <xdr:to>
      <xdr:col>1</xdr:col>
      <xdr:colOff>2038350</xdr:colOff>
      <xdr:row>2</xdr:row>
      <xdr:rowOff>0</xdr:rowOff>
    </xdr:to>
    <xdr:pic>
      <xdr:nvPicPr>
        <xdr:cNvPr id="128023" name="Imagen 5">
          <a:extLst>
            <a:ext uri="{FF2B5EF4-FFF2-40B4-BE49-F238E27FC236}">
              <a16:creationId xmlns:a16="http://schemas.microsoft.com/office/drawing/2014/main" id="{73FC42E7-D996-D5BA-6EBC-BDD778E38D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85725"/>
          <a:ext cx="2476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47625</xdr:rowOff>
    </xdr:from>
    <xdr:to>
      <xdr:col>1</xdr:col>
      <xdr:colOff>1276350</xdr:colOff>
      <xdr:row>2</xdr:row>
      <xdr:rowOff>135082</xdr:rowOff>
    </xdr:to>
    <xdr:pic>
      <xdr:nvPicPr>
        <xdr:cNvPr id="107056" name="Imagen 5">
          <a:extLst>
            <a:ext uri="{FF2B5EF4-FFF2-40B4-BE49-F238E27FC236}">
              <a16:creationId xmlns:a16="http://schemas.microsoft.com/office/drawing/2014/main" id="{4062ED9C-56A0-1DCF-8E0B-298877DA6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7625"/>
          <a:ext cx="19145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76200</xdr:rowOff>
    </xdr:from>
    <xdr:to>
      <xdr:col>1</xdr:col>
      <xdr:colOff>1609725</xdr:colOff>
      <xdr:row>2</xdr:row>
      <xdr:rowOff>95250</xdr:rowOff>
    </xdr:to>
    <xdr:pic>
      <xdr:nvPicPr>
        <xdr:cNvPr id="127045" name="Imagen 5">
          <a:extLst>
            <a:ext uri="{FF2B5EF4-FFF2-40B4-BE49-F238E27FC236}">
              <a16:creationId xmlns:a16="http://schemas.microsoft.com/office/drawing/2014/main" id="{6F3A6C53-FEA6-A70F-5EE3-BEFE770A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76200"/>
          <a:ext cx="17049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1</xdr:row>
      <xdr:rowOff>19050</xdr:rowOff>
    </xdr:from>
    <xdr:to>
      <xdr:col>1</xdr:col>
      <xdr:colOff>1981200</xdr:colOff>
      <xdr:row>3</xdr:row>
      <xdr:rowOff>114300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146610C-2936-4B1B-8541-FA1B59466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80975"/>
          <a:ext cx="17049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0</xdr:row>
      <xdr:rowOff>142875</xdr:rowOff>
    </xdr:from>
    <xdr:to>
      <xdr:col>1</xdr:col>
      <xdr:colOff>2057400</xdr:colOff>
      <xdr:row>3</xdr:row>
      <xdr:rowOff>152400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5942A7CC-DA7E-4BB4-91AB-6975AEA1B7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42875"/>
          <a:ext cx="17049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200025</xdr:rowOff>
    </xdr:from>
    <xdr:to>
      <xdr:col>0</xdr:col>
      <xdr:colOff>2943225</xdr:colOff>
      <xdr:row>3</xdr:row>
      <xdr:rowOff>159808</xdr:rowOff>
    </xdr:to>
    <xdr:pic>
      <xdr:nvPicPr>
        <xdr:cNvPr id="123662" name="Imagen 5">
          <a:extLst>
            <a:ext uri="{FF2B5EF4-FFF2-40B4-BE49-F238E27FC236}">
              <a16:creationId xmlns:a16="http://schemas.microsoft.com/office/drawing/2014/main" id="{AF619B97-FC7E-6A3A-2280-402185403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28289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508000</xdr:colOff>
      <xdr:row>43</xdr:row>
      <xdr:rowOff>148167</xdr:rowOff>
    </xdr:from>
    <xdr:to>
      <xdr:col>0</xdr:col>
      <xdr:colOff>2690557</xdr:colOff>
      <xdr:row>43</xdr:row>
      <xdr:rowOff>166457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FD18B5-E56D-8A2E-9D04-F69CF0D80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8000" y="9112250"/>
          <a:ext cx="2182557" cy="18290"/>
        </a:xfrm>
        <a:prstGeom prst="rect">
          <a:avLst/>
        </a:prstGeom>
      </xdr:spPr>
    </xdr:pic>
    <xdr:clientData/>
  </xdr:twoCellAnchor>
  <xdr:twoCellAnchor editAs="oneCell">
    <xdr:from>
      <xdr:col>3</xdr:col>
      <xdr:colOff>412750</xdr:colOff>
      <xdr:row>43</xdr:row>
      <xdr:rowOff>148166</xdr:rowOff>
    </xdr:from>
    <xdr:to>
      <xdr:col>4</xdr:col>
      <xdr:colOff>849057</xdr:colOff>
      <xdr:row>43</xdr:row>
      <xdr:rowOff>166456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AE03CAB-5102-43BC-91BC-775AD7F69E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20833" y="9112249"/>
          <a:ext cx="2182557" cy="18290"/>
        </a:xfrm>
        <a:prstGeom prst="rect">
          <a:avLst/>
        </a:prstGeom>
      </xdr:spPr>
    </xdr:pic>
    <xdr:clientData/>
  </xdr:twoCellAnchor>
  <xdr:twoCellAnchor editAs="oneCell">
    <xdr:from>
      <xdr:col>1</xdr:col>
      <xdr:colOff>78317</xdr:colOff>
      <xdr:row>49</xdr:row>
      <xdr:rowOff>152399</xdr:rowOff>
    </xdr:from>
    <xdr:to>
      <xdr:col>2</xdr:col>
      <xdr:colOff>1562374</xdr:colOff>
      <xdr:row>49</xdr:row>
      <xdr:rowOff>170689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0EF56D0-1A53-4C71-B45C-A2E2107EF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68650" y="10259482"/>
          <a:ext cx="2182557" cy="1829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28575</xdr:rowOff>
    </xdr:from>
    <xdr:to>
      <xdr:col>1</xdr:col>
      <xdr:colOff>1857375</xdr:colOff>
      <xdr:row>4</xdr:row>
      <xdr:rowOff>28575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A05D70BF-6987-4E10-82C5-0841968AF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90500"/>
          <a:ext cx="17049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0</xdr:col>
      <xdr:colOff>1981200</xdr:colOff>
      <xdr:row>1</xdr:row>
      <xdr:rowOff>200025</xdr:rowOff>
    </xdr:to>
    <xdr:pic>
      <xdr:nvPicPr>
        <xdr:cNvPr id="112133" name="Imagen 10">
          <a:extLst>
            <a:ext uri="{FF2B5EF4-FFF2-40B4-BE49-F238E27FC236}">
              <a16:creationId xmlns:a16="http://schemas.microsoft.com/office/drawing/2014/main" id="{038AD5BE-7843-AF9D-E79E-D66DDA214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0"/>
          <a:ext cx="18192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590551</xdr:colOff>
      <xdr:row>1</xdr:row>
      <xdr:rowOff>95250</xdr:rowOff>
    </xdr:from>
    <xdr:to>
      <xdr:col>1</xdr:col>
      <xdr:colOff>1790701</xdr:colOff>
      <xdr:row>4</xdr:row>
      <xdr:rowOff>72166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A849152-FB51-4116-8898-542FA5874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1" y="257175"/>
          <a:ext cx="1962150" cy="462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123825</xdr:colOff>
      <xdr:row>7</xdr:row>
      <xdr:rowOff>171450</xdr:rowOff>
    </xdr:from>
    <xdr:to>
      <xdr:col>7</xdr:col>
      <xdr:colOff>123825</xdr:colOff>
      <xdr:row>9</xdr:row>
      <xdr:rowOff>119791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D046AB8-C8E9-46A5-83BC-7A12C45C7E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1304925"/>
          <a:ext cx="1962150" cy="462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225877</xdr:colOff>
      <xdr:row>0</xdr:row>
      <xdr:rowOff>0</xdr:rowOff>
    </xdr:from>
    <xdr:to>
      <xdr:col>2</xdr:col>
      <xdr:colOff>576748</xdr:colOff>
      <xdr:row>3</xdr:row>
      <xdr:rowOff>99138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DF238433-E1DA-C21D-46DB-C6DD5F355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877" y="0"/>
          <a:ext cx="2343345" cy="682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104775</xdr:rowOff>
    </xdr:from>
    <xdr:to>
      <xdr:col>1</xdr:col>
      <xdr:colOff>2095500</xdr:colOff>
      <xdr:row>2</xdr:row>
      <xdr:rowOff>0</xdr:rowOff>
    </xdr:to>
    <xdr:pic>
      <xdr:nvPicPr>
        <xdr:cNvPr id="126412" name="Imagen 5">
          <a:extLst>
            <a:ext uri="{FF2B5EF4-FFF2-40B4-BE49-F238E27FC236}">
              <a16:creationId xmlns:a16="http://schemas.microsoft.com/office/drawing/2014/main" id="{2E8EB3B3-B307-3653-41C3-AA8406BD5D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4775"/>
          <a:ext cx="20193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64559</xdr:colOff>
      <xdr:row>31</xdr:row>
      <xdr:rowOff>118534</xdr:rowOff>
    </xdr:from>
    <xdr:to>
      <xdr:col>1</xdr:col>
      <xdr:colOff>1883834</xdr:colOff>
      <xdr:row>32</xdr:row>
      <xdr:rowOff>267759</xdr:rowOff>
    </xdr:to>
    <xdr:pic>
      <xdr:nvPicPr>
        <xdr:cNvPr id="10" name="Imagen 5">
          <a:extLst>
            <a:ext uri="{FF2B5EF4-FFF2-40B4-BE49-F238E27FC236}">
              <a16:creationId xmlns:a16="http://schemas.microsoft.com/office/drawing/2014/main" id="{D422BA19-CA8B-83F5-E3E2-132D51ABF5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392" y="9791701"/>
          <a:ext cx="18192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96310</xdr:colOff>
      <xdr:row>63</xdr:row>
      <xdr:rowOff>115359</xdr:rowOff>
    </xdr:from>
    <xdr:ext cx="1819275" cy="466725"/>
    <xdr:pic>
      <xdr:nvPicPr>
        <xdr:cNvPr id="2" name="Imagen 5">
          <a:extLst>
            <a:ext uri="{FF2B5EF4-FFF2-40B4-BE49-F238E27FC236}">
              <a16:creationId xmlns:a16="http://schemas.microsoft.com/office/drawing/2014/main" id="{E08C6E16-7497-4A44-9154-035931D836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143" y="20403609"/>
          <a:ext cx="18192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44450</xdr:colOff>
      <xdr:row>0</xdr:row>
      <xdr:rowOff>62442</xdr:rowOff>
    </xdr:from>
    <xdr:to>
      <xdr:col>1</xdr:col>
      <xdr:colOff>2063750</xdr:colOff>
      <xdr:row>1</xdr:row>
      <xdr:rowOff>275167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E82E2B53-8CB7-4DB8-A4ED-63C43A4FA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450" y="62442"/>
          <a:ext cx="2019300" cy="53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244476</xdr:colOff>
      <xdr:row>29</xdr:row>
      <xdr:rowOff>84668</xdr:rowOff>
    </xdr:from>
    <xdr:ext cx="1819275" cy="466725"/>
    <xdr:pic>
      <xdr:nvPicPr>
        <xdr:cNvPr id="6" name="Imagen 5">
          <a:extLst>
            <a:ext uri="{FF2B5EF4-FFF2-40B4-BE49-F238E27FC236}">
              <a16:creationId xmlns:a16="http://schemas.microsoft.com/office/drawing/2014/main" id="{07D52B5C-8E53-49F8-AB57-954376ED72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476" y="9662585"/>
          <a:ext cx="18192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49741</xdr:colOff>
      <xdr:row>0</xdr:row>
      <xdr:rowOff>21167</xdr:rowOff>
    </xdr:from>
    <xdr:ext cx="2019300" cy="533400"/>
    <xdr:pic>
      <xdr:nvPicPr>
        <xdr:cNvPr id="124168" name="Imagen 5">
          <a:extLst>
            <a:ext uri="{FF2B5EF4-FFF2-40B4-BE49-F238E27FC236}">
              <a16:creationId xmlns:a16="http://schemas.microsoft.com/office/drawing/2014/main" id="{5CE6D568-7448-262D-5509-D26DD9ACA6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41" y="21167"/>
          <a:ext cx="20193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101600</xdr:rowOff>
    </xdr:from>
    <xdr:ext cx="2019300" cy="533400"/>
    <xdr:pic>
      <xdr:nvPicPr>
        <xdr:cNvPr id="124169" name="Imagen 5">
          <a:extLst>
            <a:ext uri="{FF2B5EF4-FFF2-40B4-BE49-F238E27FC236}">
              <a16:creationId xmlns:a16="http://schemas.microsoft.com/office/drawing/2014/main" id="{41BD9BB7-1DCF-4148-33CD-8586050F6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833" y="9626600"/>
          <a:ext cx="20193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95250</xdr:rowOff>
    </xdr:from>
    <xdr:ext cx="2019300" cy="533400"/>
    <xdr:pic>
      <xdr:nvPicPr>
        <xdr:cNvPr id="2" name="Imagen 5">
          <a:extLst>
            <a:ext uri="{FF2B5EF4-FFF2-40B4-BE49-F238E27FC236}">
              <a16:creationId xmlns:a16="http://schemas.microsoft.com/office/drawing/2014/main" id="{3B8D1F6E-6BC4-4A7A-B804-F7D31E2B82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20193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95250</xdr:rowOff>
    </xdr:from>
    <xdr:to>
      <xdr:col>1</xdr:col>
      <xdr:colOff>1524000</xdr:colOff>
      <xdr:row>2</xdr:row>
      <xdr:rowOff>367392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DAC77BFC-13EF-41B0-BD33-6C5824594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95250"/>
          <a:ext cx="1809750" cy="598713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28576</xdr:rowOff>
    </xdr:from>
    <xdr:to>
      <xdr:col>0</xdr:col>
      <xdr:colOff>1579275</xdr:colOff>
      <xdr:row>2</xdr:row>
      <xdr:rowOff>9526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EFE0EB6D-5B2A-8C03-25A8-A34D8316A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6"/>
          <a:ext cx="1579275" cy="381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</xdr:colOff>
      <xdr:row>0</xdr:row>
      <xdr:rowOff>178593</xdr:rowOff>
    </xdr:from>
    <xdr:to>
      <xdr:col>1</xdr:col>
      <xdr:colOff>3540918</xdr:colOff>
      <xdr:row>4</xdr:row>
      <xdr:rowOff>93085</xdr:rowOff>
    </xdr:to>
    <xdr:pic>
      <xdr:nvPicPr>
        <xdr:cNvPr id="101949" name="Imagen 5">
          <a:extLst>
            <a:ext uri="{FF2B5EF4-FFF2-40B4-BE49-F238E27FC236}">
              <a16:creationId xmlns:a16="http://schemas.microsoft.com/office/drawing/2014/main" id="{B8782D00-277A-552A-3006-2A30D4186E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943" y="178593"/>
          <a:ext cx="3479006" cy="724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47625</xdr:rowOff>
    </xdr:from>
    <xdr:ext cx="1766888" cy="466725"/>
    <xdr:pic>
      <xdr:nvPicPr>
        <xdr:cNvPr id="2" name="Imagen 5">
          <a:extLst>
            <a:ext uri="{FF2B5EF4-FFF2-40B4-BE49-F238E27FC236}">
              <a16:creationId xmlns:a16="http://schemas.microsoft.com/office/drawing/2014/main" id="{837C7CE7-BA36-45B4-8583-F669CBC89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1766888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19</xdr:row>
      <xdr:rowOff>222250</xdr:rowOff>
    </xdr:from>
    <xdr:ext cx="1766888" cy="466725"/>
    <xdr:pic>
      <xdr:nvPicPr>
        <xdr:cNvPr id="3" name="Imagen 5">
          <a:extLst>
            <a:ext uri="{FF2B5EF4-FFF2-40B4-BE49-F238E27FC236}">
              <a16:creationId xmlns:a16="http://schemas.microsoft.com/office/drawing/2014/main" id="{4075567B-BCEB-4D5D-9A1E-B2434D377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54750"/>
          <a:ext cx="1766888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152400</xdr:colOff>
      <xdr:row>48</xdr:row>
      <xdr:rowOff>0</xdr:rowOff>
    </xdr:from>
    <xdr:ext cx="1766888" cy="466725"/>
    <xdr:pic>
      <xdr:nvPicPr>
        <xdr:cNvPr id="4" name="Imagen 5">
          <a:extLst>
            <a:ext uri="{FF2B5EF4-FFF2-40B4-BE49-F238E27FC236}">
              <a16:creationId xmlns:a16="http://schemas.microsoft.com/office/drawing/2014/main" id="{A14D9B0F-5081-4968-87AC-59C1FC7C5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3830300"/>
          <a:ext cx="1766888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95249</xdr:rowOff>
    </xdr:from>
    <xdr:to>
      <xdr:col>0</xdr:col>
      <xdr:colOff>2209800</xdr:colOff>
      <xdr:row>1</xdr:row>
      <xdr:rowOff>295275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A22325B-61C2-96DB-B02E-3F2B93416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95249"/>
          <a:ext cx="2181225" cy="514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271464</xdr:colOff>
      <xdr:row>0</xdr:row>
      <xdr:rowOff>109539</xdr:rowOff>
    </xdr:from>
    <xdr:to>
      <xdr:col>1</xdr:col>
      <xdr:colOff>3071813</xdr:colOff>
      <xdr:row>2</xdr:row>
      <xdr:rowOff>193810</xdr:rowOff>
    </xdr:to>
    <xdr:pic>
      <xdr:nvPicPr>
        <xdr:cNvPr id="117100" name="Imagen 5">
          <a:extLst>
            <a:ext uri="{FF2B5EF4-FFF2-40B4-BE49-F238E27FC236}">
              <a16:creationId xmlns:a16="http://schemas.microsoft.com/office/drawing/2014/main" id="{3F9420CD-8756-963F-5277-A2D2B2271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4" y="109539"/>
          <a:ext cx="3109912" cy="631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166688</xdr:colOff>
      <xdr:row>0</xdr:row>
      <xdr:rowOff>128588</xdr:rowOff>
    </xdr:from>
    <xdr:to>
      <xdr:col>2</xdr:col>
      <xdr:colOff>261937</xdr:colOff>
      <xdr:row>3</xdr:row>
      <xdr:rowOff>159544</xdr:rowOff>
    </xdr:to>
    <xdr:pic>
      <xdr:nvPicPr>
        <xdr:cNvPr id="109102" name="Imagen 5">
          <a:extLst>
            <a:ext uri="{FF2B5EF4-FFF2-40B4-BE49-F238E27FC236}">
              <a16:creationId xmlns:a16="http://schemas.microsoft.com/office/drawing/2014/main" id="{0E52FF90-3591-D5B5-CC0C-909F1E5B1E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969" y="128588"/>
          <a:ext cx="2440781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28575</xdr:rowOff>
    </xdr:from>
    <xdr:to>
      <xdr:col>1</xdr:col>
      <xdr:colOff>1914525</xdr:colOff>
      <xdr:row>1</xdr:row>
      <xdr:rowOff>276225</xdr:rowOff>
    </xdr:to>
    <xdr:pic>
      <xdr:nvPicPr>
        <xdr:cNvPr id="103984" name="Imagen 5">
          <a:extLst>
            <a:ext uri="{FF2B5EF4-FFF2-40B4-BE49-F238E27FC236}">
              <a16:creationId xmlns:a16="http://schemas.microsoft.com/office/drawing/2014/main" id="{D949302E-C951-499B-1C92-F7CDEC489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8575"/>
          <a:ext cx="22288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123825</xdr:rowOff>
    </xdr:from>
    <xdr:to>
      <xdr:col>1</xdr:col>
      <xdr:colOff>2115608</xdr:colOff>
      <xdr:row>2</xdr:row>
      <xdr:rowOff>57150</xdr:rowOff>
    </xdr:to>
    <xdr:pic>
      <xdr:nvPicPr>
        <xdr:cNvPr id="102966" name="Imagen 5">
          <a:extLst>
            <a:ext uri="{FF2B5EF4-FFF2-40B4-BE49-F238E27FC236}">
              <a16:creationId xmlns:a16="http://schemas.microsoft.com/office/drawing/2014/main" id="{D5574382-4D5E-358D-643B-B7C07B4698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22860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180975</xdr:rowOff>
    </xdr:from>
    <xdr:to>
      <xdr:col>1</xdr:col>
      <xdr:colOff>1743075</xdr:colOff>
      <xdr:row>2</xdr:row>
      <xdr:rowOff>0</xdr:rowOff>
    </xdr:to>
    <xdr:pic>
      <xdr:nvPicPr>
        <xdr:cNvPr id="72643" name="Imagen 5">
          <a:extLst>
            <a:ext uri="{FF2B5EF4-FFF2-40B4-BE49-F238E27FC236}">
              <a16:creationId xmlns:a16="http://schemas.microsoft.com/office/drawing/2014/main" id="{6E593C62-F4DE-9C64-DCF2-F9DC064E73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80975"/>
          <a:ext cx="17811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152400</xdr:rowOff>
    </xdr:from>
    <xdr:to>
      <xdr:col>1</xdr:col>
      <xdr:colOff>2190750</xdr:colOff>
      <xdr:row>2</xdr:row>
      <xdr:rowOff>197644</xdr:rowOff>
    </xdr:to>
    <xdr:pic>
      <xdr:nvPicPr>
        <xdr:cNvPr id="105008" name="Imagen 5">
          <a:extLst>
            <a:ext uri="{FF2B5EF4-FFF2-40B4-BE49-F238E27FC236}">
              <a16:creationId xmlns:a16="http://schemas.microsoft.com/office/drawing/2014/main" id="{7CFF9A80-00C2-C530-603F-DC71AE03F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152400"/>
          <a:ext cx="21526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onpercloud.sharepoint.com/sites/DF/Shared%20Documents/2%20CONT%20NEW/2025/Entradas%20de%20Diario/ED%2025%2001%20Enero.xlsx" TargetMode="External"/><Relationship Id="rId1" Type="http://schemas.openxmlformats.org/officeDocument/2006/relationships/externalLinkPath" Target="/sites/DF/Shared%20Documents/2%20CONT%20NEW/2025/Entradas%20de%20Diario/ED%2025%2001%20En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rol ED"/>
      <sheetName val="Resumen"/>
      <sheetName val="analisis IR3"/>
      <sheetName val="Reclasific"/>
      <sheetName val="Dividend"/>
      <sheetName val="Nominas "/>
      <sheetName val="Pagos"/>
      <sheetName val="Vacaciones"/>
      <sheetName val="Form Vacaciones"/>
      <sheetName val="Combustible"/>
      <sheetName val="Act Fijo"/>
      <sheetName val="Amortiz GPA"/>
      <sheetName val="Provision Bonos"/>
      <sheetName val="Provision Regalia nav"/>
      <sheetName val="Provisiones vacac"/>
      <sheetName val="Auditoria HLB"/>
      <sheetName val="Hoja4"/>
      <sheetName val="VACACIONE"/>
      <sheetName val="Analisis ISR ITBIS"/>
      <sheetName val="Dif. cambiaria "/>
      <sheetName val="Hoja17"/>
      <sheetName val="Intereses"/>
      <sheetName val="Interes calculo"/>
      <sheetName val="INVENTARIO"/>
      <sheetName val="Cargos banc"/>
      <sheetName val="Inversion"/>
      <sheetName val="Vacaciones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">
          <cell r="H7">
            <v>8399520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6:M89"/>
  <sheetViews>
    <sheetView tabSelected="1" zoomScale="90" zoomScaleNormal="90" workbookViewId="0">
      <selection activeCell="E5" sqref="E5"/>
    </sheetView>
  </sheetViews>
  <sheetFormatPr baseColWidth="10" defaultColWidth="9.109375" defaultRowHeight="15.6"/>
  <cols>
    <col min="1" max="1" width="52.109375" style="1" customWidth="1"/>
    <col min="2" max="2" width="10" style="1" customWidth="1"/>
    <col min="3" max="3" width="28.5546875" style="2" bestFit="1" customWidth="1"/>
    <col min="4" max="4" width="29.44140625" style="2" bestFit="1" customWidth="1"/>
    <col min="5" max="5" width="25" style="2" customWidth="1"/>
    <col min="6" max="6" width="21.44140625" style="2" customWidth="1"/>
    <col min="7" max="7" width="23.33203125" style="3" bestFit="1" customWidth="1"/>
    <col min="8" max="8" width="21.44140625" style="1" bestFit="1" customWidth="1"/>
    <col min="9" max="9" width="20" style="1" bestFit="1" customWidth="1"/>
    <col min="10" max="12" width="9.109375" style="1" customWidth="1"/>
    <col min="13" max="13" width="19.109375" style="1" bestFit="1" customWidth="1"/>
    <col min="14" max="16384" width="9.109375" style="1"/>
  </cols>
  <sheetData>
    <row r="6" spans="1:8">
      <c r="A6" s="1" t="s">
        <v>0</v>
      </c>
    </row>
    <row r="7" spans="1:8" s="7" customFormat="1" ht="19.95" customHeight="1">
      <c r="A7" s="547" t="s">
        <v>1</v>
      </c>
      <c r="B7" s="547"/>
      <c r="C7" s="547"/>
      <c r="D7" s="547"/>
      <c r="E7" s="547"/>
      <c r="F7" s="5"/>
      <c r="G7" s="6"/>
    </row>
    <row r="8" spans="1:8" s="7" customFormat="1" ht="18.600000000000001">
      <c r="A8" s="548" t="s">
        <v>2</v>
      </c>
      <c r="B8" s="548"/>
      <c r="C8" s="548"/>
      <c r="D8" s="548"/>
      <c r="E8" s="548"/>
      <c r="F8" s="5"/>
      <c r="G8" s="6"/>
    </row>
    <row r="9" spans="1:8" s="7" customFormat="1" ht="18.600000000000001">
      <c r="A9" s="549" t="s">
        <v>3</v>
      </c>
      <c r="B9" s="549"/>
      <c r="C9" s="549"/>
      <c r="D9" s="549"/>
      <c r="E9" s="549"/>
      <c r="F9" s="8"/>
      <c r="G9" s="6"/>
    </row>
    <row r="10" spans="1:8" s="7" customFormat="1" ht="18">
      <c r="A10" s="550" t="s">
        <v>4</v>
      </c>
      <c r="B10" s="550"/>
      <c r="C10" s="550"/>
      <c r="D10" s="550"/>
      <c r="E10" s="550"/>
      <c r="F10" s="5"/>
      <c r="G10" s="6"/>
    </row>
    <row r="11" spans="1:8" s="7" customFormat="1" ht="18">
      <c r="A11" s="10"/>
      <c r="B11" s="10"/>
      <c r="C11" s="10"/>
      <c r="D11" s="10"/>
      <c r="E11" s="11"/>
      <c r="F11" s="11"/>
      <c r="G11" s="6"/>
    </row>
    <row r="12" spans="1:8" s="7" customFormat="1" ht="18">
      <c r="C12" s="11"/>
      <c r="D12" s="11"/>
      <c r="E12" s="11"/>
      <c r="F12" s="11"/>
      <c r="G12" s="6"/>
    </row>
    <row r="13" spans="1:8" s="12" customFormat="1" ht="24.75" customHeight="1">
      <c r="B13" s="13" t="s">
        <v>5</v>
      </c>
      <c r="C13" s="13" t="s">
        <v>6</v>
      </c>
      <c r="D13" s="13" t="s">
        <v>7</v>
      </c>
      <c r="E13" s="13" t="s">
        <v>8</v>
      </c>
      <c r="F13" s="14"/>
      <c r="G13" s="6"/>
    </row>
    <row r="14" spans="1:8" ht="18">
      <c r="A14" s="15" t="s">
        <v>9</v>
      </c>
      <c r="B14" s="15"/>
      <c r="C14" s="16"/>
      <c r="D14" s="16"/>
      <c r="E14" s="16"/>
      <c r="F14" s="16"/>
      <c r="G14" s="6"/>
    </row>
    <row r="15" spans="1:8" ht="18">
      <c r="A15" s="280" t="s">
        <v>10</v>
      </c>
      <c r="B15" s="280"/>
      <c r="C15" s="16"/>
      <c r="D15" s="16"/>
      <c r="E15" s="16"/>
      <c r="F15" s="16"/>
      <c r="G15" s="6"/>
    </row>
    <row r="16" spans="1:8" ht="18">
      <c r="A16" s="1" t="s">
        <v>11</v>
      </c>
      <c r="B16" s="17">
        <v>1</v>
      </c>
      <c r="C16" s="411">
        <f>+'A-SITUACION ANEXOS'!D20</f>
        <v>491357102.27599996</v>
      </c>
      <c r="D16" s="411">
        <f>+'A-SITUACION ANEXOS'!E20</f>
        <v>526652753.84799999</v>
      </c>
      <c r="E16" s="411">
        <f>+C16-D16</f>
        <v>-35295651.572000027</v>
      </c>
      <c r="F16" s="16"/>
      <c r="G16" s="525"/>
      <c r="H16" s="18"/>
    </row>
    <row r="17" spans="1:9" ht="18">
      <c r="A17" s="1" t="s">
        <v>12</v>
      </c>
      <c r="B17" s="17">
        <v>2</v>
      </c>
      <c r="C17" s="411">
        <f>+'A-SITUACION ANEXOS'!D28</f>
        <v>1694470638.4000001</v>
      </c>
      <c r="D17" s="411">
        <f>+'A-SITUACION ANEXOS'!E28</f>
        <v>1084686724.8199999</v>
      </c>
      <c r="E17" s="411">
        <f>+C17-D17</f>
        <v>609783913.58000016</v>
      </c>
      <c r="F17" s="281"/>
      <c r="G17" s="525"/>
      <c r="H17" s="18"/>
    </row>
    <row r="18" spans="1:9" ht="18">
      <c r="A18" s="1" t="s">
        <v>13</v>
      </c>
      <c r="B18" s="17">
        <v>3</v>
      </c>
      <c r="C18" s="411">
        <f>+'A-SITUACION ANEXOS'!D37</f>
        <v>11830179.359999999</v>
      </c>
      <c r="D18" s="411">
        <f>+'A-SITUACION ANEXOS'!E37</f>
        <v>12203150.522999998</v>
      </c>
      <c r="E18" s="411">
        <f>+C18-D18</f>
        <v>-372971.16299999878</v>
      </c>
      <c r="F18" s="16"/>
      <c r="G18" s="525"/>
      <c r="H18" s="18"/>
    </row>
    <row r="19" spans="1:9" ht="18">
      <c r="A19" s="1" t="s">
        <v>14</v>
      </c>
      <c r="B19" s="17">
        <v>4</v>
      </c>
      <c r="C19" s="411">
        <f>+'A-SITUACION ANEXOS'!D44</f>
        <v>3445587.94</v>
      </c>
      <c r="D19" s="411">
        <f>+'A-SITUACION ANEXOS'!E44</f>
        <v>2759695.54</v>
      </c>
      <c r="E19" s="411">
        <f>+C19-D19</f>
        <v>685892.39999999991</v>
      </c>
      <c r="F19" s="16"/>
      <c r="G19" s="525"/>
      <c r="H19" s="18"/>
    </row>
    <row r="20" spans="1:9" ht="18">
      <c r="A20" s="1" t="s">
        <v>15</v>
      </c>
      <c r="B20" s="17">
        <v>5</v>
      </c>
      <c r="C20" s="411">
        <f>+'A-SITUACION ANEXOS'!D51</f>
        <v>2052968.96</v>
      </c>
      <c r="D20" s="411">
        <f>+'A-SITUACION ANEXOS'!E51</f>
        <v>2471089.5766666667</v>
      </c>
      <c r="E20" s="411">
        <f>+C20-D20</f>
        <v>-418120.6166666667</v>
      </c>
      <c r="F20" s="16"/>
      <c r="G20" s="525"/>
      <c r="H20" s="18"/>
    </row>
    <row r="21" spans="1:9" ht="18">
      <c r="A21" s="15" t="s">
        <v>16</v>
      </c>
      <c r="B21" s="47"/>
      <c r="C21" s="412">
        <f>SUM(C16:C20)</f>
        <v>2203156476.9360003</v>
      </c>
      <c r="D21" s="412">
        <f>SUM(D16:D20)</f>
        <v>1628773414.3076665</v>
      </c>
      <c r="E21" s="412">
        <f>SUM(E16:E20)</f>
        <v>574383062.62833345</v>
      </c>
      <c r="F21" s="16"/>
      <c r="G21" s="525"/>
      <c r="H21" s="18"/>
      <c r="I21" s="16"/>
    </row>
    <row r="22" spans="1:9" ht="18">
      <c r="B22" s="17"/>
      <c r="C22" s="411"/>
      <c r="D22" s="411"/>
      <c r="E22" s="411"/>
      <c r="F22" s="533"/>
      <c r="G22" s="525"/>
      <c r="H22" s="18"/>
      <c r="I22" s="16"/>
    </row>
    <row r="23" spans="1:9" ht="18">
      <c r="A23" s="280" t="s">
        <v>17</v>
      </c>
      <c r="B23" s="282"/>
      <c r="C23" s="411"/>
      <c r="D23" s="411"/>
      <c r="E23" s="411"/>
      <c r="F23" s="533"/>
      <c r="G23" s="525"/>
      <c r="H23" s="18"/>
      <c r="I23" s="16"/>
    </row>
    <row r="24" spans="1:9" ht="18">
      <c r="A24" s="1" t="s">
        <v>18</v>
      </c>
      <c r="B24" s="17">
        <v>6</v>
      </c>
      <c r="C24" s="413">
        <f>+'A-SITUACION ANEXOS'!D94</f>
        <v>14538136304.990002</v>
      </c>
      <c r="D24" s="413">
        <f>+'A-SITUACION ANEXOS'!E94</f>
        <v>15182098558.029999</v>
      </c>
      <c r="E24" s="413">
        <f>C24-D24</f>
        <v>-643962253.0399971</v>
      </c>
      <c r="F24" s="533"/>
      <c r="G24" s="525"/>
      <c r="H24" s="18"/>
    </row>
    <row r="25" spans="1:9" ht="18">
      <c r="A25" s="1" t="s">
        <v>19</v>
      </c>
      <c r="B25" s="17">
        <v>7</v>
      </c>
      <c r="C25" s="413">
        <f>+'A-SITUACION ANEXOS'!D102</f>
        <v>1746656800</v>
      </c>
      <c r="D25" s="414">
        <f>+'A-SITUACION ANEXOS'!E102</f>
        <v>1746656800</v>
      </c>
      <c r="E25" s="414">
        <f>C25-D25</f>
        <v>0</v>
      </c>
      <c r="G25" s="525"/>
      <c r="H25" s="18"/>
    </row>
    <row r="26" spans="1:9" ht="18">
      <c r="A26" s="1" t="s">
        <v>20</v>
      </c>
      <c r="B26" s="17">
        <v>8</v>
      </c>
      <c r="C26" s="415">
        <f>+'A-SITUACION ANEXOS'!D115</f>
        <v>22229746.969999995</v>
      </c>
      <c r="D26" s="416">
        <f>+'A-SITUACION ANEXOS'!E115</f>
        <v>21958546.609999992</v>
      </c>
      <c r="E26" s="416">
        <f>C26-D26</f>
        <v>271200.36000000313</v>
      </c>
      <c r="F26" s="37"/>
      <c r="G26" s="525"/>
      <c r="H26" s="18"/>
    </row>
    <row r="27" spans="1:9" ht="18">
      <c r="A27" s="15" t="s">
        <v>21</v>
      </c>
      <c r="B27" s="17"/>
      <c r="C27" s="417">
        <f>SUM(C24:C26)</f>
        <v>16307022851.960001</v>
      </c>
      <c r="D27" s="418">
        <f>SUM(D24:D26)</f>
        <v>16950713904.639999</v>
      </c>
      <c r="E27" s="418">
        <f>SUM(E24:E26)</f>
        <v>-643691052.67999709</v>
      </c>
      <c r="F27" s="37"/>
      <c r="G27" s="525"/>
      <c r="H27" s="18"/>
    </row>
    <row r="28" spans="1:9" ht="18">
      <c r="B28" s="17"/>
      <c r="C28" s="411"/>
      <c r="D28" s="419"/>
      <c r="E28" s="419"/>
      <c r="F28" s="534"/>
      <c r="G28" s="525"/>
      <c r="H28" s="18"/>
    </row>
    <row r="29" spans="1:9" ht="22.2" customHeight="1" thickBot="1">
      <c r="A29" s="15" t="s">
        <v>22</v>
      </c>
      <c r="B29" s="47"/>
      <c r="C29" s="420">
        <f>C21+C27</f>
        <v>18510179328.896</v>
      </c>
      <c r="D29" s="421">
        <f>D21+D27</f>
        <v>18579487318.947666</v>
      </c>
      <c r="E29" s="421">
        <f>+C29-D29</f>
        <v>-69307990.05166626</v>
      </c>
      <c r="F29" s="37"/>
      <c r="G29" s="525"/>
      <c r="H29" s="18"/>
    </row>
    <row r="30" spans="1:9" ht="17.25" customHeight="1" thickTop="1">
      <c r="B30" s="17"/>
      <c r="C30" s="411"/>
      <c r="D30" s="419"/>
      <c r="E30" s="419"/>
      <c r="F30" s="37"/>
      <c r="G30" s="525"/>
      <c r="H30" s="18"/>
    </row>
    <row r="31" spans="1:9" ht="18">
      <c r="A31" s="15" t="s">
        <v>23</v>
      </c>
      <c r="B31" s="47"/>
      <c r="C31" s="411"/>
      <c r="D31" s="419"/>
      <c r="E31" s="419"/>
      <c r="F31" s="37"/>
      <c r="G31" s="525"/>
      <c r="H31" s="18"/>
    </row>
    <row r="32" spans="1:9" ht="18">
      <c r="A32" s="280" t="s">
        <v>10</v>
      </c>
      <c r="B32" s="282"/>
      <c r="C32" s="411"/>
      <c r="D32" s="419"/>
      <c r="E32" s="419"/>
      <c r="F32" s="37"/>
      <c r="G32" s="525"/>
      <c r="H32" s="18"/>
    </row>
    <row r="33" spans="1:9" ht="18">
      <c r="A33" s="1" t="s">
        <v>24</v>
      </c>
      <c r="B33" s="17">
        <v>9</v>
      </c>
      <c r="C33" s="411">
        <f>+'A-SITUACION ANEXOS'!D126</f>
        <v>2964084.2199999997</v>
      </c>
      <c r="D33" s="419">
        <f>+'A-SITUACION ANEXOS'!E126</f>
        <v>2367560.0699999998</v>
      </c>
      <c r="E33" s="414">
        <f>+C33-D33</f>
        <v>596524.14999999991</v>
      </c>
      <c r="F33" s="37"/>
      <c r="G33" s="525"/>
      <c r="H33" s="18"/>
      <c r="I33" s="2"/>
    </row>
    <row r="34" spans="1:9" ht="18">
      <c r="A34" s="1" t="s">
        <v>25</v>
      </c>
      <c r="B34" s="17">
        <v>10</v>
      </c>
      <c r="C34" s="411">
        <f>+'A-SITUACION ANEXOS'!D133</f>
        <v>653990.1</v>
      </c>
      <c r="D34" s="419">
        <f>+'A-SITUACION ANEXOS'!E133</f>
        <v>2417573.23</v>
      </c>
      <c r="E34" s="414">
        <f t="shared" ref="E34:E36" si="0">+C34-D34</f>
        <v>-1763583.13</v>
      </c>
      <c r="F34" s="37"/>
      <c r="G34" s="525"/>
      <c r="H34" s="18"/>
      <c r="I34" s="2"/>
    </row>
    <row r="35" spans="1:9" ht="18">
      <c r="A35" s="1" t="s">
        <v>26</v>
      </c>
      <c r="B35" s="17">
        <v>11</v>
      </c>
      <c r="C35" s="411">
        <f>+'A-SITUACION ANEXOS'!D143</f>
        <v>8563530.4000000004</v>
      </c>
      <c r="D35" s="419">
        <f>+'A-SITUACION ANEXOS'!E143</f>
        <v>3812129.7399999998</v>
      </c>
      <c r="E35" s="414">
        <f t="shared" si="0"/>
        <v>4751400.66</v>
      </c>
      <c r="F35" s="37"/>
      <c r="G35" s="525"/>
      <c r="H35" s="18"/>
      <c r="I35" s="2"/>
    </row>
    <row r="36" spans="1:9" ht="18">
      <c r="A36" s="1" t="s">
        <v>27</v>
      </c>
      <c r="B36" s="17">
        <v>12</v>
      </c>
      <c r="C36" s="419">
        <f>+'A-SITUACION ANEXOS'!D153</f>
        <v>1911841.26</v>
      </c>
      <c r="D36" s="419">
        <f>+'A-SITUACION ANEXOS'!E153</f>
        <v>8710677.6699999999</v>
      </c>
      <c r="E36" s="414">
        <f t="shared" si="0"/>
        <v>-6798836.4100000001</v>
      </c>
      <c r="F36" s="37"/>
      <c r="G36" s="525"/>
      <c r="H36" s="18"/>
      <c r="I36" s="2"/>
    </row>
    <row r="37" spans="1:9" ht="18">
      <c r="A37" s="1" t="s">
        <v>28</v>
      </c>
      <c r="B37" s="17">
        <v>13</v>
      </c>
      <c r="C37" s="415">
        <f>+'A-SITUACION ANEXOS'!D159</f>
        <v>0</v>
      </c>
      <c r="D37" s="416">
        <f>+'A-SITUACION ANEXOS'!E159</f>
        <v>16900860.629999999</v>
      </c>
      <c r="E37" s="416">
        <f>+C37-D37</f>
        <v>-16900860.629999999</v>
      </c>
      <c r="F37" s="37"/>
      <c r="G37" s="525"/>
      <c r="H37" s="18"/>
      <c r="I37" s="2"/>
    </row>
    <row r="38" spans="1:9" ht="18">
      <c r="A38" s="15" t="s">
        <v>29</v>
      </c>
      <c r="B38" s="47"/>
      <c r="C38" s="417">
        <f>SUM(C33:C37)</f>
        <v>14093445.98</v>
      </c>
      <c r="D38" s="418">
        <f>SUM(D33:D37)</f>
        <v>34208801.340000004</v>
      </c>
      <c r="E38" s="418">
        <f>SUM(E33:E37)+0.01</f>
        <v>-20115355.349999998</v>
      </c>
      <c r="F38" s="37"/>
      <c r="G38" s="525"/>
      <c r="H38" s="18"/>
      <c r="I38" s="2"/>
    </row>
    <row r="39" spans="1:9" ht="18">
      <c r="B39" s="17"/>
      <c r="C39" s="411"/>
      <c r="D39" s="419"/>
      <c r="E39" s="414"/>
      <c r="F39" s="37"/>
      <c r="G39" s="525"/>
      <c r="H39" s="18"/>
      <c r="I39" s="2"/>
    </row>
    <row r="40" spans="1:9" ht="18">
      <c r="B40" s="17"/>
      <c r="C40" s="411"/>
      <c r="D40" s="419"/>
      <c r="E40" s="414"/>
      <c r="F40" s="37"/>
      <c r="G40" s="525"/>
      <c r="H40" s="18"/>
      <c r="I40" s="2"/>
    </row>
    <row r="41" spans="1:9" ht="18">
      <c r="A41" s="15" t="s">
        <v>30</v>
      </c>
      <c r="B41" s="47"/>
      <c r="C41" s="417">
        <f>C38</f>
        <v>14093445.98</v>
      </c>
      <c r="D41" s="418">
        <f>D38</f>
        <v>34208801.340000004</v>
      </c>
      <c r="E41" s="418">
        <f>E38</f>
        <v>-20115355.349999998</v>
      </c>
      <c r="F41" s="37"/>
      <c r="G41" s="525"/>
      <c r="H41" s="18"/>
      <c r="I41" s="2"/>
    </row>
    <row r="42" spans="1:9" ht="18">
      <c r="B42" s="17"/>
      <c r="C42" s="411"/>
      <c r="D42" s="419"/>
      <c r="E42" s="419"/>
      <c r="F42" s="37"/>
      <c r="G42" s="525"/>
      <c r="H42" s="18"/>
    </row>
    <row r="43" spans="1:9" ht="18">
      <c r="A43" s="15" t="s">
        <v>31</v>
      </c>
      <c r="B43" s="47"/>
      <c r="C43" s="411"/>
      <c r="D43" s="419"/>
      <c r="E43" s="414"/>
      <c r="F43" s="37"/>
      <c r="G43" s="525"/>
      <c r="H43" s="18"/>
    </row>
    <row r="44" spans="1:9" ht="18">
      <c r="A44" s="1" t="s">
        <v>32</v>
      </c>
      <c r="B44" s="17">
        <v>14</v>
      </c>
      <c r="C44" s="411">
        <f>+'NOTA 14-CAPITAL'!F25</f>
        <v>16239082100</v>
      </c>
      <c r="D44" s="411">
        <f>+'NOTA 14-CAPITAL'!H25</f>
        <v>16239082100</v>
      </c>
      <c r="E44" s="413">
        <f>+C44-D44</f>
        <v>0</v>
      </c>
      <c r="F44" s="37"/>
      <c r="G44" s="525"/>
      <c r="H44" s="18"/>
    </row>
    <row r="45" spans="1:9" ht="18">
      <c r="A45" s="1" t="s">
        <v>33</v>
      </c>
      <c r="B45" s="17"/>
      <c r="C45" s="411">
        <v>2338382929.5700002</v>
      </c>
      <c r="D45" s="411">
        <v>278849081.56</v>
      </c>
      <c r="E45" s="411">
        <f>+C45-D45</f>
        <v>2059533848.0100002</v>
      </c>
      <c r="F45" s="37"/>
      <c r="G45" s="525"/>
      <c r="H45" s="18"/>
    </row>
    <row r="46" spans="1:9" ht="18">
      <c r="A46" s="1" t="s">
        <v>34</v>
      </c>
      <c r="B46" s="17"/>
      <c r="C46" s="415">
        <f>+'Estado de Resultados'!C37</f>
        <v>-81379146.649999991</v>
      </c>
      <c r="D46" s="415">
        <v>2027347336.05</v>
      </c>
      <c r="E46" s="415">
        <f>+C46-D46</f>
        <v>-2108726482.7</v>
      </c>
      <c r="F46" s="37"/>
      <c r="G46" s="525"/>
      <c r="H46" s="18"/>
    </row>
    <row r="47" spans="1:9">
      <c r="B47" s="17"/>
      <c r="C47" s="411"/>
      <c r="D47" s="411"/>
      <c r="E47" s="411"/>
      <c r="F47" s="533"/>
      <c r="G47" s="1"/>
      <c r="H47" s="18"/>
    </row>
    <row r="48" spans="1:9" ht="16.2">
      <c r="A48" s="15" t="s">
        <v>35</v>
      </c>
      <c r="B48" s="47"/>
      <c r="C48" s="417">
        <f>SUM(C44:C46)</f>
        <v>18496085882.919998</v>
      </c>
      <c r="D48" s="417">
        <f>SUM(D44:D46)</f>
        <v>18545278517.610001</v>
      </c>
      <c r="E48" s="417">
        <f>SUM(E44:E46)</f>
        <v>-49192634.689999819</v>
      </c>
      <c r="F48" s="533"/>
      <c r="G48" s="18"/>
      <c r="H48" s="18"/>
      <c r="I48" s="18"/>
    </row>
    <row r="49" spans="1:13" ht="11.25" customHeight="1">
      <c r="B49" s="17"/>
      <c r="C49" s="411"/>
      <c r="D49" s="411"/>
      <c r="E49" s="411"/>
      <c r="F49" s="533"/>
      <c r="G49" s="1"/>
      <c r="H49" s="18"/>
    </row>
    <row r="50" spans="1:13" ht="21" customHeight="1" thickBot="1">
      <c r="A50" s="15" t="s">
        <v>36</v>
      </c>
      <c r="B50" s="47"/>
      <c r="C50" s="420">
        <f>+C41+C48</f>
        <v>18510179328.899998</v>
      </c>
      <c r="D50" s="420">
        <f>+D41+D48</f>
        <v>18579487318.950001</v>
      </c>
      <c r="E50" s="421">
        <f>+C50-D50-0</f>
        <v>-69307990.050003052</v>
      </c>
      <c r="F50" s="533"/>
      <c r="G50" s="18"/>
      <c r="H50" s="18"/>
    </row>
    <row r="51" spans="1:13" ht="16.2" thickTop="1">
      <c r="B51" s="23"/>
      <c r="C51" s="527">
        <f>+C29-C50</f>
        <v>-3.997802734375E-3</v>
      </c>
      <c r="D51" s="527">
        <f>+D29-D50</f>
        <v>-2.3345947265625E-3</v>
      </c>
      <c r="E51" s="527">
        <f>+E29-E50</f>
        <v>-1.6632080078125E-3</v>
      </c>
      <c r="F51" s="533"/>
      <c r="G51" s="1"/>
      <c r="H51" s="18"/>
      <c r="M51" s="16"/>
    </row>
    <row r="52" spans="1:13">
      <c r="B52" s="17"/>
      <c r="C52" s="535"/>
      <c r="D52" s="422"/>
      <c r="E52" s="422"/>
      <c r="F52" s="533"/>
      <c r="G52" s="1"/>
      <c r="H52" s="18"/>
      <c r="M52" s="2"/>
    </row>
    <row r="53" spans="1:13" ht="30.75" customHeight="1">
      <c r="B53" s="17"/>
      <c r="C53" s="26"/>
      <c r="F53" s="533"/>
      <c r="G53" s="1"/>
      <c r="M53" s="2"/>
    </row>
    <row r="54" spans="1:13">
      <c r="A54" s="22"/>
      <c r="B54" s="345"/>
      <c r="C54" s="536"/>
      <c r="F54" s="533"/>
      <c r="G54" s="1"/>
      <c r="M54" s="2"/>
    </row>
    <row r="55" spans="1:13" ht="15" customHeight="1">
      <c r="A55" s="22"/>
      <c r="B55" s="22"/>
      <c r="G55" s="1"/>
      <c r="M55" s="2"/>
    </row>
    <row r="56" spans="1:13" s="15" customFormat="1" ht="16.2">
      <c r="A56" s="253" t="s">
        <v>37</v>
      </c>
      <c r="C56" s="50"/>
      <c r="D56" s="553" t="s">
        <v>38</v>
      </c>
      <c r="E56" s="553"/>
      <c r="F56" s="50"/>
      <c r="H56" s="50"/>
      <c r="M56" s="50"/>
    </row>
    <row r="57" spans="1:13">
      <c r="A57" s="23" t="s">
        <v>39</v>
      </c>
      <c r="B57" s="22"/>
      <c r="D57" s="546" t="s">
        <v>40</v>
      </c>
      <c r="E57" s="546"/>
      <c r="G57" s="1"/>
      <c r="H57" s="2"/>
    </row>
    <row r="58" spans="1:13">
      <c r="A58" s="23"/>
      <c r="B58" s="22"/>
      <c r="G58" s="1"/>
      <c r="H58" s="2"/>
      <c r="M58" s="2"/>
    </row>
    <row r="59" spans="1:13" ht="16.5" customHeight="1">
      <c r="A59" s="22"/>
      <c r="B59" s="22"/>
      <c r="G59" s="1"/>
      <c r="M59" s="18"/>
    </row>
    <row r="60" spans="1:13" ht="16.5" customHeight="1">
      <c r="A60" s="22"/>
      <c r="B60" s="22"/>
      <c r="G60" s="1"/>
      <c r="M60" s="18"/>
    </row>
    <row r="61" spans="1:13" ht="17.25" customHeight="1">
      <c r="G61" s="1"/>
      <c r="M61" s="18"/>
    </row>
    <row r="62" spans="1:13" s="15" customFormat="1" ht="16.2">
      <c r="A62" s="551" t="s">
        <v>41</v>
      </c>
      <c r="B62" s="551"/>
      <c r="C62" s="551"/>
      <c r="D62" s="551"/>
      <c r="E62" s="551"/>
      <c r="F62" s="50"/>
    </row>
    <row r="63" spans="1:13">
      <c r="A63" s="552" t="s">
        <v>42</v>
      </c>
      <c r="B63" s="552"/>
      <c r="C63" s="552"/>
      <c r="D63" s="552"/>
      <c r="E63" s="552"/>
      <c r="G63" s="1"/>
    </row>
    <row r="64" spans="1:13">
      <c r="G64" s="1"/>
    </row>
    <row r="65" spans="3:7">
      <c r="G65" s="1"/>
    </row>
    <row r="66" spans="3:7">
      <c r="G66" s="1"/>
    </row>
    <row r="67" spans="3:7">
      <c r="G67" s="1"/>
    </row>
    <row r="68" spans="3:7">
      <c r="G68" s="1"/>
    </row>
    <row r="69" spans="3:7">
      <c r="G69" s="1"/>
    </row>
    <row r="70" spans="3:7">
      <c r="C70" s="1"/>
      <c r="D70" s="546"/>
      <c r="E70" s="546"/>
      <c r="F70" s="546"/>
      <c r="G70" s="546"/>
    </row>
    <row r="71" spans="3:7">
      <c r="C71" s="1"/>
      <c r="G71" s="1"/>
    </row>
    <row r="72" spans="3:7">
      <c r="C72" s="24"/>
      <c r="D72" s="25"/>
      <c r="F72" s="25"/>
      <c r="G72" s="2"/>
    </row>
    <row r="73" spans="3:7">
      <c r="C73" s="24"/>
      <c r="D73" s="25"/>
      <c r="F73" s="25"/>
      <c r="G73" s="2"/>
    </row>
    <row r="74" spans="3:7">
      <c r="C74" s="24"/>
      <c r="D74" s="25"/>
      <c r="F74" s="25"/>
      <c r="G74" s="2"/>
    </row>
    <row r="75" spans="3:7">
      <c r="C75" s="24"/>
      <c r="D75" s="25"/>
      <c r="F75" s="25"/>
      <c r="G75" s="2"/>
    </row>
    <row r="76" spans="3:7">
      <c r="C76" s="24"/>
      <c r="D76" s="25"/>
      <c r="F76" s="25"/>
      <c r="G76" s="2"/>
    </row>
    <row r="77" spans="3:7">
      <c r="C77" s="24"/>
      <c r="D77" s="25"/>
      <c r="F77" s="25"/>
      <c r="G77" s="2"/>
    </row>
    <row r="78" spans="3:7">
      <c r="C78" s="24"/>
      <c r="D78" s="25"/>
      <c r="F78" s="25"/>
      <c r="G78" s="2"/>
    </row>
    <row r="79" spans="3:7">
      <c r="C79" s="24"/>
      <c r="G79" s="2"/>
    </row>
    <row r="80" spans="3:7">
      <c r="C80" s="27"/>
      <c r="G80" s="1"/>
    </row>
    <row r="81" spans="3:7">
      <c r="C81" s="27"/>
      <c r="G81" s="1"/>
    </row>
    <row r="83" spans="3:7">
      <c r="C83" s="28"/>
    </row>
    <row r="84" spans="3:7">
      <c r="C84" s="28"/>
    </row>
    <row r="85" spans="3:7">
      <c r="C85" s="28"/>
    </row>
    <row r="86" spans="3:7">
      <c r="C86" s="28"/>
    </row>
    <row r="87" spans="3:7">
      <c r="C87" s="28"/>
    </row>
    <row r="88" spans="3:7">
      <c r="C88" s="28"/>
    </row>
    <row r="89" spans="3:7">
      <c r="C89" s="28"/>
    </row>
  </sheetData>
  <mergeCells count="10">
    <mergeCell ref="D70:E70"/>
    <mergeCell ref="F70:G70"/>
    <mergeCell ref="A7:E7"/>
    <mergeCell ref="A8:E8"/>
    <mergeCell ref="A9:E9"/>
    <mergeCell ref="A10:E10"/>
    <mergeCell ref="A62:E62"/>
    <mergeCell ref="A63:E63"/>
    <mergeCell ref="D57:E57"/>
    <mergeCell ref="D56:E56"/>
  </mergeCells>
  <phoneticPr fontId="43" type="noConversion"/>
  <printOptions horizontalCentered="1"/>
  <pageMargins left="0.86614173228346458" right="0.86614173228346458" top="0.39370078740157483" bottom="0.19685039370078741" header="0" footer="0"/>
  <pageSetup scale="6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26"/>
  <sheetViews>
    <sheetView topLeftCell="A4" zoomScale="110" zoomScaleNormal="110" workbookViewId="0">
      <selection activeCell="L17" sqref="L17"/>
    </sheetView>
  </sheetViews>
  <sheetFormatPr baseColWidth="10" defaultColWidth="11.5546875" defaultRowHeight="24.75" customHeight="1"/>
  <cols>
    <col min="1" max="1" width="4.6640625" style="119" customWidth="1"/>
    <col min="2" max="2" width="14.33203125" style="119" customWidth="1"/>
    <col min="3" max="3" width="16.33203125" style="119" customWidth="1"/>
    <col min="4" max="4" width="50.88671875" style="119" customWidth="1"/>
    <col min="5" max="5" width="18.5546875" style="119" bestFit="1" customWidth="1"/>
    <col min="6" max="6" width="16.44140625" style="119" bestFit="1" customWidth="1"/>
    <col min="7" max="7" width="3.33203125" style="119" customWidth="1"/>
    <col min="8" max="8" width="15.109375" style="119" customWidth="1"/>
    <col min="9" max="9" width="14.5546875" style="119" bestFit="1" customWidth="1"/>
    <col min="10" max="16384" width="11.5546875" style="119"/>
  </cols>
  <sheetData>
    <row r="1" spans="1:8" ht="24.75" customHeight="1">
      <c r="A1" s="1"/>
      <c r="B1" s="1"/>
      <c r="C1" s="1"/>
      <c r="D1" s="1"/>
      <c r="E1" s="2"/>
      <c r="F1" s="1"/>
    </row>
    <row r="2" spans="1:8" ht="24.75" customHeight="1">
      <c r="A2" s="1"/>
      <c r="B2" s="551"/>
      <c r="C2" s="551"/>
      <c r="D2" s="551"/>
      <c r="E2" s="551"/>
      <c r="F2" s="551"/>
    </row>
    <row r="3" spans="1:8" ht="24.75" customHeight="1">
      <c r="A3" s="1"/>
      <c r="B3" s="551" t="s">
        <v>306</v>
      </c>
      <c r="C3" s="551"/>
      <c r="D3" s="551"/>
      <c r="E3" s="551"/>
      <c r="F3" s="551"/>
    </row>
    <row r="4" spans="1:8" ht="24.75" customHeight="1">
      <c r="A4" s="1"/>
      <c r="B4" s="551" t="s">
        <v>284</v>
      </c>
      <c r="C4" s="551"/>
      <c r="D4" s="551"/>
      <c r="E4" s="551"/>
      <c r="F4" s="551"/>
    </row>
    <row r="5" spans="1:8" ht="24.75" customHeight="1">
      <c r="A5" s="1"/>
      <c r="B5" s="551" t="s">
        <v>369</v>
      </c>
      <c r="C5" s="551"/>
      <c r="D5" s="551"/>
      <c r="E5" s="551"/>
      <c r="F5" s="551"/>
    </row>
    <row r="6" spans="1:8" ht="24.75" customHeight="1">
      <c r="A6" s="1"/>
      <c r="B6" s="563">
        <v>45688</v>
      </c>
      <c r="C6" s="563"/>
      <c r="D6" s="563"/>
      <c r="E6" s="563"/>
      <c r="F6" s="563"/>
    </row>
    <row r="7" spans="1:8" ht="24.75" customHeight="1" thickBot="1">
      <c r="A7" s="1"/>
      <c r="B7" s="1"/>
      <c r="C7" s="1"/>
      <c r="D7" s="47"/>
      <c r="E7" s="47"/>
      <c r="F7" s="1"/>
    </row>
    <row r="8" spans="1:8" ht="24.75" customHeight="1" thickBot="1">
      <c r="A8" s="1"/>
      <c r="B8" s="120" t="s">
        <v>370</v>
      </c>
      <c r="C8" s="121" t="s">
        <v>371</v>
      </c>
      <c r="D8" s="71" t="s">
        <v>372</v>
      </c>
      <c r="E8" s="71" t="s">
        <v>373</v>
      </c>
      <c r="F8" s="72" t="s">
        <v>374</v>
      </c>
    </row>
    <row r="9" spans="1:8" ht="24.75" customHeight="1">
      <c r="A9" s="1"/>
      <c r="B9" s="122">
        <v>44042</v>
      </c>
      <c r="C9" s="123">
        <v>36759</v>
      </c>
      <c r="D9" s="59" t="s">
        <v>375</v>
      </c>
      <c r="E9" s="113">
        <v>320878.34000000003</v>
      </c>
      <c r="F9" s="123" t="s">
        <v>376</v>
      </c>
    </row>
    <row r="10" spans="1:8" ht="24.75" customHeight="1">
      <c r="A10" s="1"/>
      <c r="B10" s="124">
        <v>44042</v>
      </c>
      <c r="C10" s="125">
        <v>36760</v>
      </c>
      <c r="D10" s="59" t="s">
        <v>375</v>
      </c>
      <c r="E10" s="89">
        <v>320878.34000000003</v>
      </c>
      <c r="F10" s="125" t="s">
        <v>376</v>
      </c>
    </row>
    <row r="11" spans="1:8" ht="24.75" customHeight="1">
      <c r="A11" s="1"/>
      <c r="B11" s="124">
        <v>44042</v>
      </c>
      <c r="C11" s="125">
        <v>36762</v>
      </c>
      <c r="D11" s="59" t="s">
        <v>375</v>
      </c>
      <c r="E11" s="89">
        <v>261614.87</v>
      </c>
      <c r="F11" s="125" t="s">
        <v>376</v>
      </c>
    </row>
    <row r="12" spans="1:8" ht="24.75" customHeight="1">
      <c r="A12" s="1"/>
      <c r="B12" s="124">
        <v>44042</v>
      </c>
      <c r="C12" s="125">
        <v>36763</v>
      </c>
      <c r="D12" s="59" t="s">
        <v>375</v>
      </c>
      <c r="E12" s="89">
        <v>636759.86</v>
      </c>
      <c r="F12" s="125" t="s">
        <v>376</v>
      </c>
    </row>
    <row r="13" spans="1:8" ht="24.75" customHeight="1">
      <c r="A13" s="1"/>
      <c r="B13" s="124">
        <v>44042</v>
      </c>
      <c r="C13" s="125">
        <v>36765</v>
      </c>
      <c r="D13" s="59" t="s">
        <v>375</v>
      </c>
      <c r="E13" s="89">
        <v>636759.86</v>
      </c>
      <c r="F13" s="125" t="s">
        <v>376</v>
      </c>
    </row>
    <row r="14" spans="1:8" ht="24.75" customHeight="1">
      <c r="A14" s="1"/>
      <c r="B14" s="124">
        <v>44042</v>
      </c>
      <c r="C14" s="125">
        <v>36766</v>
      </c>
      <c r="D14" s="59" t="s">
        <v>375</v>
      </c>
      <c r="E14" s="89">
        <v>282294.27</v>
      </c>
      <c r="F14" s="125" t="s">
        <v>376</v>
      </c>
    </row>
    <row r="15" spans="1:8" ht="24.75" hidden="1" customHeight="1">
      <c r="A15" s="1"/>
      <c r="B15" s="124">
        <v>44894</v>
      </c>
      <c r="C15" s="125">
        <v>38855</v>
      </c>
      <c r="D15" s="59" t="s">
        <v>377</v>
      </c>
      <c r="E15" s="89"/>
      <c r="F15" s="125" t="s">
        <v>376</v>
      </c>
      <c r="H15" s="129">
        <v>5149638</v>
      </c>
    </row>
    <row r="16" spans="1:8" ht="22.5" hidden="1" customHeight="1">
      <c r="A16" s="1"/>
      <c r="B16" s="124">
        <v>45043</v>
      </c>
      <c r="C16" s="125">
        <v>39088</v>
      </c>
      <c r="D16" s="59" t="s">
        <v>378</v>
      </c>
      <c r="E16" s="89"/>
      <c r="F16" s="125" t="s">
        <v>376</v>
      </c>
    </row>
    <row r="17" spans="1:9" ht="22.5" hidden="1" customHeight="1">
      <c r="A17" s="1"/>
      <c r="B17" s="124">
        <v>45049</v>
      </c>
      <c r="C17" s="125">
        <v>39106</v>
      </c>
      <c r="D17" s="59" t="s">
        <v>377</v>
      </c>
      <c r="E17" s="89"/>
      <c r="F17" s="125" t="s">
        <v>376</v>
      </c>
      <c r="H17" s="129">
        <v>7724457</v>
      </c>
    </row>
    <row r="18" spans="1:9" ht="24.75" customHeight="1">
      <c r="A18" s="1"/>
      <c r="B18" s="124">
        <v>45561</v>
      </c>
      <c r="C18" s="125">
        <v>39875</v>
      </c>
      <c r="D18" s="59" t="s">
        <v>379</v>
      </c>
      <c r="E18" s="89">
        <v>296100</v>
      </c>
      <c r="F18" s="125" t="s">
        <v>376</v>
      </c>
      <c r="H18" s="129"/>
    </row>
    <row r="19" spans="1:9" ht="24.75" customHeight="1">
      <c r="A19" s="1"/>
      <c r="B19" s="124">
        <v>45603</v>
      </c>
      <c r="C19" s="125">
        <v>39919</v>
      </c>
      <c r="D19" s="59" t="s">
        <v>380</v>
      </c>
      <c r="E19" s="89">
        <v>370125</v>
      </c>
      <c r="F19" s="125" t="s">
        <v>376</v>
      </c>
      <c r="H19" s="129"/>
    </row>
    <row r="20" spans="1:9" ht="24.75" customHeight="1">
      <c r="A20" s="1"/>
      <c r="B20" s="124">
        <v>45681</v>
      </c>
      <c r="C20" s="125">
        <v>39988</v>
      </c>
      <c r="D20" s="519" t="s">
        <v>381</v>
      </c>
      <c r="E20" s="118">
        <v>260081.38</v>
      </c>
      <c r="F20" s="125" t="s">
        <v>376</v>
      </c>
      <c r="H20" s="129"/>
    </row>
    <row r="21" spans="1:9" ht="24.75" customHeight="1">
      <c r="A21" s="1"/>
      <c r="B21" s="115"/>
      <c r="C21" s="115"/>
      <c r="D21" s="127" t="s">
        <v>367</v>
      </c>
      <c r="E21" s="128">
        <f>SUM(E9:E20)</f>
        <v>3385491.92</v>
      </c>
      <c r="F21" s="115"/>
      <c r="H21" s="129"/>
    </row>
    <row r="22" spans="1:9" ht="6.75" customHeight="1">
      <c r="A22" s="1"/>
      <c r="B22" s="115"/>
      <c r="C22" s="115"/>
      <c r="D22" s="115"/>
      <c r="E22" s="89"/>
      <c r="F22" s="115"/>
      <c r="H22" s="130"/>
      <c r="I22" s="126"/>
    </row>
    <row r="23" spans="1:9" ht="24.75" customHeight="1">
      <c r="A23" s="1"/>
      <c r="B23" s="1"/>
      <c r="C23" s="1"/>
      <c r="D23" s="15"/>
      <c r="E23" s="344"/>
      <c r="F23" s="28"/>
      <c r="H23" s="130"/>
    </row>
    <row r="24" spans="1:9" ht="24.75" customHeight="1">
      <c r="A24" s="1"/>
      <c r="B24" s="1"/>
      <c r="C24" s="1"/>
      <c r="D24" s="131" t="s">
        <v>382</v>
      </c>
      <c r="E24" s="129"/>
      <c r="F24" s="1"/>
    </row>
    <row r="26" spans="1:9" ht="24.75" customHeight="1">
      <c r="D26" s="119" t="s">
        <v>383</v>
      </c>
    </row>
  </sheetData>
  <mergeCells count="5">
    <mergeCell ref="B2:F2"/>
    <mergeCell ref="B3:F3"/>
    <mergeCell ref="B4:F4"/>
    <mergeCell ref="B5:F5"/>
    <mergeCell ref="B6:F6"/>
  </mergeCells>
  <phoneticPr fontId="51" type="noConversion"/>
  <pageMargins left="0.70866141732283472" right="0.70866141732283472" top="0.74803149606299213" bottom="0.74803149606299213" header="0.31496062992125984" footer="0.31496062992125984"/>
  <pageSetup scale="7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4:C11"/>
  <sheetViews>
    <sheetView topLeftCell="A4" workbookViewId="0">
      <selection activeCell="L17" sqref="L17"/>
    </sheetView>
  </sheetViews>
  <sheetFormatPr baseColWidth="10" defaultColWidth="11.44140625" defaultRowHeight="24.75" customHeight="1"/>
  <cols>
    <col min="1" max="1" width="5.109375" style="130" customWidth="1"/>
    <col min="2" max="2" width="52" style="130" customWidth="1"/>
    <col min="3" max="3" width="25" style="130" customWidth="1"/>
    <col min="4" max="4" width="24.5546875" style="130" customWidth="1"/>
    <col min="5" max="16384" width="11.44140625" style="130"/>
  </cols>
  <sheetData>
    <row r="4" spans="2:3" ht="24.75" customHeight="1">
      <c r="B4" s="551" t="s">
        <v>306</v>
      </c>
      <c r="C4" s="551"/>
    </row>
    <row r="5" spans="2:3" ht="24.75" customHeight="1">
      <c r="B5" s="551" t="s">
        <v>284</v>
      </c>
      <c r="C5" s="551"/>
    </row>
    <row r="6" spans="2:3" ht="24.75" customHeight="1">
      <c r="B6" s="551" t="s">
        <v>307</v>
      </c>
      <c r="C6" s="551"/>
    </row>
    <row r="7" spans="2:3" ht="24.75" customHeight="1">
      <c r="B7" s="563">
        <v>45688</v>
      </c>
      <c r="C7" s="563"/>
    </row>
    <row r="8" spans="2:3" ht="24.75" customHeight="1" thickBot="1">
      <c r="B8" s="1"/>
      <c r="C8" s="1"/>
    </row>
    <row r="9" spans="2:3" ht="24.75" customHeight="1">
      <c r="B9" s="360" t="s">
        <v>268</v>
      </c>
      <c r="C9" s="157" t="s">
        <v>287</v>
      </c>
    </row>
    <row r="10" spans="2:3" ht="24.75" customHeight="1">
      <c r="B10" s="361" t="s">
        <v>384</v>
      </c>
      <c r="C10" s="362">
        <v>0</v>
      </c>
    </row>
    <row r="11" spans="2:3" ht="24.75" customHeight="1" thickBot="1">
      <c r="B11" s="132" t="s">
        <v>305</v>
      </c>
      <c r="C11" s="133">
        <f>SUM(C10:C10)</f>
        <v>0</v>
      </c>
    </row>
  </sheetData>
  <mergeCells count="4">
    <mergeCell ref="B4:C4"/>
    <mergeCell ref="B5:C5"/>
    <mergeCell ref="B6:C6"/>
    <mergeCell ref="B7:C7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20"/>
  <sheetViews>
    <sheetView workbookViewId="0">
      <selection activeCell="L17" sqref="L17"/>
    </sheetView>
  </sheetViews>
  <sheetFormatPr baseColWidth="10" defaultColWidth="11.44140625" defaultRowHeight="24.75" customHeight="1"/>
  <cols>
    <col min="1" max="1" width="6.109375" style="130" customWidth="1"/>
    <col min="2" max="2" width="35.33203125" style="130" customWidth="1"/>
    <col min="3" max="3" width="17" style="130" hidden="1" customWidth="1"/>
    <col min="4" max="4" width="18.44140625" style="130" hidden="1" customWidth="1"/>
    <col min="5" max="5" width="19.5546875" style="130" customWidth="1"/>
    <col min="6" max="6" width="13.88671875" style="130" customWidth="1"/>
    <col min="7" max="7" width="18" style="130" customWidth="1"/>
    <col min="8" max="8" width="24.33203125" style="130" customWidth="1"/>
    <col min="9" max="9" width="16.44140625" style="130" customWidth="1"/>
    <col min="10" max="16384" width="11.44140625" style="130"/>
  </cols>
  <sheetData>
    <row r="1" spans="1:9" ht="24.75" customHeight="1">
      <c r="A1" s="1"/>
      <c r="B1" s="1"/>
      <c r="C1" s="1"/>
      <c r="D1" s="1"/>
      <c r="E1" s="1"/>
      <c r="F1" s="1"/>
      <c r="G1" s="1"/>
      <c r="H1" s="1"/>
      <c r="I1" s="1"/>
    </row>
    <row r="2" spans="1:9" ht="24.75" customHeight="1">
      <c r="A2" s="1"/>
      <c r="B2" s="1"/>
      <c r="C2" s="1"/>
      <c r="D2" s="1"/>
      <c r="E2" s="1"/>
      <c r="F2" s="1"/>
      <c r="G2" s="1"/>
      <c r="H2" s="1"/>
      <c r="I2" s="1"/>
    </row>
    <row r="3" spans="1:9" ht="24.75" customHeight="1">
      <c r="A3" s="572" t="s">
        <v>306</v>
      </c>
      <c r="B3" s="572"/>
      <c r="C3" s="572"/>
      <c r="D3" s="572"/>
      <c r="E3" s="572"/>
      <c r="F3" s="572"/>
      <c r="G3" s="572"/>
      <c r="H3" s="572"/>
      <c r="I3" s="572"/>
    </row>
    <row r="4" spans="1:9" ht="24.75" customHeight="1">
      <c r="A4" s="572" t="s">
        <v>385</v>
      </c>
      <c r="B4" s="572"/>
      <c r="C4" s="572"/>
      <c r="D4" s="572"/>
      <c r="E4" s="572"/>
      <c r="F4" s="572"/>
      <c r="G4" s="572"/>
      <c r="H4" s="572"/>
      <c r="I4" s="572"/>
    </row>
    <row r="5" spans="1:9" ht="24.75" customHeight="1">
      <c r="A5" s="572" t="s">
        <v>386</v>
      </c>
      <c r="B5" s="572"/>
      <c r="C5" s="572"/>
      <c r="D5" s="572"/>
      <c r="E5" s="572"/>
      <c r="F5" s="572"/>
      <c r="G5" s="572"/>
      <c r="H5" s="572"/>
      <c r="I5" s="572"/>
    </row>
    <row r="6" spans="1:9" ht="24.75" customHeight="1">
      <c r="A6" s="573">
        <v>45688</v>
      </c>
      <c r="B6" s="573"/>
      <c r="C6" s="573"/>
      <c r="D6" s="573"/>
      <c r="E6" s="573"/>
      <c r="F6" s="573"/>
      <c r="G6" s="573"/>
      <c r="H6" s="573"/>
      <c r="I6" s="573"/>
    </row>
    <row r="7" spans="1:9" ht="24.75" customHeight="1" thickBot="1">
      <c r="A7" s="65"/>
      <c r="B7" s="134"/>
      <c r="C7" s="65"/>
      <c r="D7" s="65"/>
      <c r="E7" s="65"/>
      <c r="F7" s="65"/>
      <c r="G7" s="65"/>
      <c r="H7" s="65"/>
      <c r="I7" s="65"/>
    </row>
    <row r="8" spans="1:9" ht="49.2" thickBot="1">
      <c r="A8" s="135" t="s">
        <v>387</v>
      </c>
      <c r="B8" s="136" t="s">
        <v>388</v>
      </c>
      <c r="C8" s="136" t="s">
        <v>389</v>
      </c>
      <c r="D8" s="136" t="s">
        <v>390</v>
      </c>
      <c r="E8" s="137" t="s">
        <v>391</v>
      </c>
      <c r="F8" s="137" t="s">
        <v>392</v>
      </c>
      <c r="G8" s="137" t="s">
        <v>393</v>
      </c>
      <c r="H8" s="137" t="s">
        <v>394</v>
      </c>
      <c r="I8" s="138" t="s">
        <v>395</v>
      </c>
    </row>
    <row r="9" spans="1:9" s="1" customFormat="1" ht="25.5" customHeight="1">
      <c r="A9" s="139">
        <v>1</v>
      </c>
      <c r="B9" s="140" t="s">
        <v>396</v>
      </c>
      <c r="C9" s="141" t="s">
        <v>397</v>
      </c>
      <c r="D9" s="140" t="s">
        <v>398</v>
      </c>
      <c r="E9" s="142">
        <v>87795</v>
      </c>
      <c r="F9" s="141">
        <v>10</v>
      </c>
      <c r="G9" s="142">
        <f>E9/F9</f>
        <v>8779.5</v>
      </c>
      <c r="H9" s="142">
        <v>0</v>
      </c>
      <c r="I9" s="143">
        <f>+E9-H9</f>
        <v>87795</v>
      </c>
    </row>
    <row r="10" spans="1:9" s="1" customFormat="1" ht="25.5" customHeight="1">
      <c r="A10" s="88"/>
      <c r="B10" s="144" t="s">
        <v>367</v>
      </c>
      <c r="C10" s="140"/>
      <c r="D10" s="140"/>
      <c r="E10" s="145">
        <f>SUM(E9:E9)</f>
        <v>87795</v>
      </c>
      <c r="F10" s="146"/>
      <c r="G10" s="145">
        <f>SUM(G9:G9)</f>
        <v>8779.5</v>
      </c>
      <c r="H10" s="145">
        <f>SUM(H9:H9)</f>
        <v>0</v>
      </c>
      <c r="I10" s="147">
        <f>SUM(I9:I9)</f>
        <v>87795</v>
      </c>
    </row>
    <row r="11" spans="1:9" s="1" customFormat="1" ht="25.5" customHeight="1" thickBot="1">
      <c r="A11" s="148"/>
      <c r="B11" s="149"/>
      <c r="C11" s="150"/>
      <c r="D11" s="151"/>
      <c r="E11" s="152"/>
      <c r="F11" s="153"/>
      <c r="G11" s="152"/>
      <c r="H11" s="152"/>
      <c r="I11" s="154"/>
    </row>
    <row r="12" spans="1:9" ht="24.75" customHeight="1">
      <c r="A12" s="1"/>
      <c r="B12" s="1"/>
      <c r="C12" s="1"/>
      <c r="D12" s="1"/>
      <c r="E12" s="1"/>
      <c r="F12" s="1"/>
      <c r="G12" s="1"/>
      <c r="H12" s="1"/>
      <c r="I12" s="1"/>
    </row>
    <row r="13" spans="1:9" ht="24.75" customHeight="1">
      <c r="G13" s="155"/>
      <c r="H13" s="155"/>
    </row>
    <row r="14" spans="1:9" ht="24.75" customHeight="1">
      <c r="F14" s="155"/>
    </row>
    <row r="15" spans="1:9" ht="24.75" customHeight="1">
      <c r="F15" s="155"/>
      <c r="I15" s="155"/>
    </row>
    <row r="16" spans="1:9" ht="24.75" customHeight="1">
      <c r="F16" s="155"/>
    </row>
    <row r="17" spans="6:6" ht="24.75" customHeight="1">
      <c r="F17" s="155"/>
    </row>
    <row r="18" spans="6:6" ht="24.75" customHeight="1">
      <c r="F18" s="155"/>
    </row>
    <row r="19" spans="6:6" ht="24.75" customHeight="1">
      <c r="F19" s="155"/>
    </row>
    <row r="20" spans="6:6" ht="24.75" customHeight="1">
      <c r="F20" s="155"/>
    </row>
  </sheetData>
  <mergeCells count="4">
    <mergeCell ref="A3:I3"/>
    <mergeCell ref="A4:I4"/>
    <mergeCell ref="A5:I5"/>
    <mergeCell ref="A6:I6"/>
  </mergeCells>
  <pageMargins left="0.5118110236220472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4:G19"/>
  <sheetViews>
    <sheetView zoomScaleNormal="100" workbookViewId="0">
      <selection activeCell="L17" sqref="L17"/>
    </sheetView>
  </sheetViews>
  <sheetFormatPr baseColWidth="10" defaultColWidth="9.109375" defaultRowHeight="24.75" customHeight="1"/>
  <cols>
    <col min="1" max="1" width="5.5546875" style="1" customWidth="1"/>
    <col min="2" max="2" width="39" style="1" customWidth="1"/>
    <col min="3" max="3" width="22.44140625" style="1" customWidth="1"/>
    <col min="4" max="4" width="15.6640625" style="1" bestFit="1" customWidth="1"/>
    <col min="5" max="5" width="15.88671875" style="1" customWidth="1"/>
    <col min="6" max="6" width="11.109375" style="1" bestFit="1" customWidth="1"/>
    <col min="7" max="7" width="12.6640625" style="1" bestFit="1" customWidth="1"/>
    <col min="8" max="9" width="9.109375" style="1"/>
    <col min="10" max="10" width="13.5546875" style="1" customWidth="1"/>
    <col min="11" max="11" width="9.109375" style="1"/>
    <col min="12" max="12" width="15.5546875" style="1" bestFit="1" customWidth="1"/>
    <col min="13" max="16384" width="9.109375" style="1"/>
  </cols>
  <sheetData>
    <row r="4" spans="2:7" ht="24.75" customHeight="1">
      <c r="B4" s="551" t="s">
        <v>306</v>
      </c>
      <c r="C4" s="551"/>
    </row>
    <row r="5" spans="2:7" ht="24.75" customHeight="1">
      <c r="B5" s="551" t="s">
        <v>284</v>
      </c>
      <c r="C5" s="551"/>
    </row>
    <row r="6" spans="2:7" ht="24.75" customHeight="1">
      <c r="B6" s="551" t="s">
        <v>307</v>
      </c>
      <c r="C6" s="551"/>
    </row>
    <row r="7" spans="2:7" ht="24.75" customHeight="1">
      <c r="B7" s="563">
        <v>45688</v>
      </c>
      <c r="C7" s="563"/>
      <c r="D7" s="49"/>
    </row>
    <row r="8" spans="2:7" ht="24.75" customHeight="1" thickBot="1">
      <c r="D8" s="2"/>
    </row>
    <row r="9" spans="2:7" ht="24.75" customHeight="1" thickBot="1">
      <c r="B9" s="156" t="s">
        <v>399</v>
      </c>
      <c r="C9" s="157" t="s">
        <v>287</v>
      </c>
    </row>
    <row r="10" spans="2:7" ht="24.75" customHeight="1">
      <c r="B10" s="158" t="s">
        <v>400</v>
      </c>
      <c r="C10" s="163">
        <v>153870.04</v>
      </c>
      <c r="D10" s="28"/>
      <c r="E10" s="448"/>
      <c r="F10" s="114"/>
      <c r="G10" s="28"/>
    </row>
    <row r="11" spans="2:7" ht="24.75" customHeight="1">
      <c r="B11" s="73" t="s">
        <v>401</v>
      </c>
      <c r="C11" s="164">
        <v>76935.02</v>
      </c>
      <c r="D11" s="28"/>
      <c r="E11" s="448"/>
      <c r="G11" s="28"/>
    </row>
    <row r="12" spans="2:7" ht="24.75" customHeight="1">
      <c r="B12" s="80" t="s">
        <v>305</v>
      </c>
      <c r="C12" s="161">
        <f>SUM(C10:C11)</f>
        <v>230805.06</v>
      </c>
      <c r="G12" s="28"/>
    </row>
    <row r="13" spans="2:7" ht="24.75" customHeight="1" thickBot="1">
      <c r="B13" s="83"/>
      <c r="C13" s="162"/>
      <c r="E13" s="28"/>
    </row>
    <row r="14" spans="2:7" ht="24.75" customHeight="1">
      <c r="E14" s="28"/>
    </row>
    <row r="15" spans="2:7" ht="24.75" customHeight="1">
      <c r="E15" s="28"/>
    </row>
    <row r="17" spans="2:3" ht="24.75" customHeight="1">
      <c r="C17" s="18"/>
    </row>
    <row r="18" spans="2:3" ht="24.75" customHeight="1">
      <c r="C18" s="18"/>
    </row>
    <row r="19" spans="2:3" ht="24.75" customHeight="1">
      <c r="B19" s="160" t="s">
        <v>402</v>
      </c>
      <c r="C19" s="18"/>
    </row>
  </sheetData>
  <mergeCells count="4">
    <mergeCell ref="B5:C5"/>
    <mergeCell ref="B6:C6"/>
    <mergeCell ref="B7:C7"/>
    <mergeCell ref="B4:C4"/>
  </mergeCells>
  <pageMargins left="1.299212598425197" right="0.70866141732283472" top="0.74803149606299213" bottom="0.74803149606299213" header="0.31496062992125984" footer="0.31496062992125984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3:J46"/>
  <sheetViews>
    <sheetView topLeftCell="A14" zoomScale="90" zoomScaleNormal="90" workbookViewId="0">
      <selection activeCell="L17" sqref="L17"/>
    </sheetView>
  </sheetViews>
  <sheetFormatPr baseColWidth="10" defaultColWidth="11.44140625" defaultRowHeight="24.75" customHeight="1"/>
  <cols>
    <col min="1" max="1" width="10.6640625" style="1" customWidth="1"/>
    <col min="2" max="2" width="49.88671875" style="1" customWidth="1"/>
    <col min="3" max="3" width="30.5546875" style="1" bestFit="1" customWidth="1"/>
    <col min="4" max="4" width="22.88671875" style="1" customWidth="1"/>
    <col min="5" max="5" width="16.33203125" style="1" bestFit="1" customWidth="1"/>
    <col min="6" max="6" width="19" style="1" bestFit="1" customWidth="1"/>
    <col min="7" max="7" width="16.88671875" style="1" bestFit="1" customWidth="1"/>
    <col min="8" max="8" width="11.44140625" style="1"/>
    <col min="9" max="9" width="15.88671875" style="1" bestFit="1" customWidth="1"/>
    <col min="10" max="10" width="11.5546875" style="1" bestFit="1" customWidth="1"/>
    <col min="11" max="16384" width="11.44140625" style="1"/>
  </cols>
  <sheetData>
    <row r="3" spans="2:10" ht="24.75" customHeight="1">
      <c r="B3" s="551" t="s">
        <v>403</v>
      </c>
      <c r="C3" s="551"/>
      <c r="E3" s="51"/>
    </row>
    <row r="4" spans="2:10" ht="21.75" customHeight="1">
      <c r="B4" s="551" t="s">
        <v>284</v>
      </c>
      <c r="C4" s="551"/>
      <c r="E4" s="51"/>
    </row>
    <row r="5" spans="2:10" ht="21.75" customHeight="1">
      <c r="B5" s="551" t="s">
        <v>14</v>
      </c>
      <c r="C5" s="551"/>
      <c r="E5" s="51"/>
    </row>
    <row r="6" spans="2:10" ht="21.75" customHeight="1">
      <c r="B6" s="563">
        <v>45688</v>
      </c>
      <c r="C6" s="563"/>
      <c r="E6" s="51"/>
    </row>
    <row r="7" spans="2:10" ht="8.25" customHeight="1" thickBot="1">
      <c r="B7" s="67"/>
      <c r="C7" s="67"/>
      <c r="E7" s="51"/>
    </row>
    <row r="8" spans="2:10" ht="24.75" customHeight="1" thickBot="1">
      <c r="B8" s="70" t="s">
        <v>268</v>
      </c>
      <c r="C8" s="72" t="s">
        <v>287</v>
      </c>
      <c r="E8" s="51"/>
    </row>
    <row r="9" spans="2:10" ht="24.75" customHeight="1">
      <c r="B9" s="165" t="s">
        <v>404</v>
      </c>
      <c r="C9" s="101"/>
      <c r="E9" s="51"/>
    </row>
    <row r="10" spans="2:10" ht="24.75" customHeight="1">
      <c r="B10" s="100" t="s">
        <v>405</v>
      </c>
      <c r="C10" s="101">
        <v>366455.76</v>
      </c>
      <c r="E10" s="51"/>
      <c r="F10" s="2"/>
      <c r="G10" s="18"/>
      <c r="I10" s="2"/>
      <c r="J10" s="18"/>
    </row>
    <row r="11" spans="2:10" ht="24.75" customHeight="1">
      <c r="B11" s="100" t="s">
        <v>406</v>
      </c>
      <c r="C11" s="101">
        <v>176059.96</v>
      </c>
      <c r="E11" s="51"/>
      <c r="F11" s="2"/>
      <c r="G11" s="18"/>
      <c r="I11" s="2"/>
      <c r="J11" s="18"/>
    </row>
    <row r="12" spans="2:10" ht="24.75" customHeight="1">
      <c r="B12" s="100" t="s">
        <v>407</v>
      </c>
      <c r="C12" s="101">
        <v>222178.03</v>
      </c>
      <c r="E12" s="51"/>
      <c r="F12" s="2"/>
      <c r="G12" s="18"/>
    </row>
    <row r="13" spans="2:10" ht="24.75" customHeight="1">
      <c r="B13" s="100" t="s">
        <v>408</v>
      </c>
      <c r="C13" s="101">
        <v>571036.29</v>
      </c>
      <c r="E13" s="51"/>
      <c r="F13" s="2"/>
      <c r="G13" s="18"/>
    </row>
    <row r="14" spans="2:10" ht="24.75" customHeight="1">
      <c r="B14" s="100" t="s">
        <v>409</v>
      </c>
      <c r="C14" s="101">
        <v>78766.070000000007</v>
      </c>
      <c r="E14" s="51"/>
      <c r="F14" s="2"/>
      <c r="G14" s="18"/>
    </row>
    <row r="15" spans="2:10" ht="24.75" customHeight="1">
      <c r="B15" s="100" t="s">
        <v>410</v>
      </c>
      <c r="C15" s="101">
        <v>177239.92</v>
      </c>
      <c r="E15" s="51"/>
      <c r="F15" s="2"/>
      <c r="G15" s="18"/>
    </row>
    <row r="16" spans="2:10" ht="24.75" customHeight="1">
      <c r="B16" s="100" t="s">
        <v>411</v>
      </c>
      <c r="C16" s="101">
        <v>26712.84</v>
      </c>
      <c r="E16" s="51"/>
      <c r="F16" s="2"/>
      <c r="G16" s="18"/>
    </row>
    <row r="17" spans="2:7" ht="24.75" customHeight="1">
      <c r="B17" s="100" t="s">
        <v>412</v>
      </c>
      <c r="C17" s="101">
        <v>135147.60999999999</v>
      </c>
      <c r="E17" s="51"/>
      <c r="F17" s="2"/>
      <c r="G17" s="18"/>
    </row>
    <row r="18" spans="2:7" ht="24.75" customHeight="1">
      <c r="B18" s="100" t="s">
        <v>413</v>
      </c>
      <c r="C18" s="101">
        <v>43984.98</v>
      </c>
      <c r="E18" s="51"/>
      <c r="F18" s="2"/>
      <c r="G18" s="18"/>
    </row>
    <row r="19" spans="2:7" ht="24.75" customHeight="1">
      <c r="B19" s="100" t="s">
        <v>414</v>
      </c>
      <c r="C19" s="101">
        <v>45590.47</v>
      </c>
      <c r="E19" s="51"/>
      <c r="F19" s="2"/>
      <c r="G19" s="18"/>
    </row>
    <row r="20" spans="2:7" ht="24.75" hidden="1" customHeight="1">
      <c r="B20" s="100" t="s">
        <v>415</v>
      </c>
      <c r="C20" s="166"/>
      <c r="E20" s="51"/>
      <c r="F20" s="2"/>
      <c r="G20" s="18"/>
    </row>
    <row r="21" spans="2:7" ht="24.75" customHeight="1">
      <c r="B21" s="102" t="s">
        <v>416</v>
      </c>
      <c r="C21" s="101">
        <v>420000.19</v>
      </c>
      <c r="E21" s="51"/>
      <c r="F21" s="2"/>
      <c r="G21" s="18"/>
    </row>
    <row r="22" spans="2:7" ht="24.75" customHeight="1">
      <c r="B22" s="102" t="s">
        <v>417</v>
      </c>
      <c r="C22" s="101">
        <v>351450</v>
      </c>
      <c r="E22" s="51"/>
      <c r="F22" s="2"/>
      <c r="G22" s="18"/>
    </row>
    <row r="23" spans="2:7" ht="24.75" customHeight="1">
      <c r="B23" s="102" t="s">
        <v>418</v>
      </c>
      <c r="C23" s="166">
        <v>28750.11</v>
      </c>
      <c r="E23" s="51"/>
      <c r="F23" s="2"/>
      <c r="G23" s="18"/>
    </row>
    <row r="24" spans="2:7" ht="24.75" customHeight="1">
      <c r="B24" s="283" t="s">
        <v>419</v>
      </c>
      <c r="C24" s="284">
        <f>SUM(C10:C23)</f>
        <v>2643372.23</v>
      </c>
      <c r="D24" s="18"/>
      <c r="E24" s="51"/>
      <c r="F24" s="2"/>
      <c r="G24" s="18"/>
    </row>
    <row r="25" spans="2:7" ht="24.75" customHeight="1">
      <c r="B25" s="167"/>
      <c r="C25" s="168"/>
      <c r="D25" s="18"/>
      <c r="E25" s="51"/>
      <c r="G25" s="18"/>
    </row>
    <row r="26" spans="2:7" ht="24.75" customHeight="1">
      <c r="B26" s="105" t="s">
        <v>420</v>
      </c>
      <c r="C26" s="103"/>
      <c r="E26" s="51"/>
      <c r="F26" s="2"/>
      <c r="G26" s="18"/>
    </row>
    <row r="27" spans="2:7" ht="24.75" customHeight="1">
      <c r="B27" s="102" t="s">
        <v>421</v>
      </c>
      <c r="C27" s="103">
        <v>64035.06</v>
      </c>
      <c r="E27" s="51"/>
      <c r="F27" s="2"/>
      <c r="G27" s="18"/>
    </row>
    <row r="28" spans="2:7" ht="24.75" customHeight="1">
      <c r="B28" s="102" t="s">
        <v>422</v>
      </c>
      <c r="C28" s="103">
        <v>163608.94</v>
      </c>
      <c r="E28" s="51"/>
      <c r="F28" s="2"/>
      <c r="G28" s="18"/>
    </row>
    <row r="29" spans="2:7" ht="24.75" customHeight="1">
      <c r="B29" s="102" t="s">
        <v>423</v>
      </c>
      <c r="C29" s="103">
        <v>13065.38</v>
      </c>
      <c r="E29" s="51"/>
      <c r="F29" s="2"/>
      <c r="G29" s="18"/>
    </row>
    <row r="30" spans="2:7" ht="24.75" customHeight="1">
      <c r="B30" s="102" t="s">
        <v>424</v>
      </c>
      <c r="C30" s="103">
        <v>118413.28</v>
      </c>
      <c r="E30" s="51"/>
      <c r="F30" s="2"/>
      <c r="G30" s="18"/>
    </row>
    <row r="31" spans="2:7" ht="24.75" customHeight="1">
      <c r="B31" s="102" t="s">
        <v>425</v>
      </c>
      <c r="C31" s="103">
        <v>196219.49</v>
      </c>
      <c r="E31" s="51"/>
      <c r="F31" s="2"/>
      <c r="G31" s="18"/>
    </row>
    <row r="32" spans="2:7" ht="24.75" customHeight="1">
      <c r="B32" s="102" t="s">
        <v>426</v>
      </c>
      <c r="C32" s="103">
        <v>69966.92</v>
      </c>
      <c r="E32" s="51"/>
      <c r="F32" s="2"/>
      <c r="G32" s="18"/>
    </row>
    <row r="33" spans="2:7" ht="24.75" hidden="1" customHeight="1">
      <c r="B33" s="102" t="s">
        <v>427</v>
      </c>
      <c r="C33" s="103"/>
      <c r="E33" s="51"/>
      <c r="F33" s="2"/>
      <c r="G33" s="18"/>
    </row>
    <row r="34" spans="2:7" ht="24.75" hidden="1" customHeight="1">
      <c r="B34" s="102" t="s">
        <v>428</v>
      </c>
      <c r="C34" s="103"/>
      <c r="E34" s="51"/>
      <c r="F34" s="2"/>
      <c r="G34" s="18"/>
    </row>
    <row r="35" spans="2:7" ht="24.75" customHeight="1">
      <c r="B35" s="102" t="s">
        <v>429</v>
      </c>
      <c r="C35" s="104">
        <v>176906.64</v>
      </c>
      <c r="E35" s="51"/>
      <c r="F35" s="2"/>
      <c r="G35" s="18"/>
    </row>
    <row r="36" spans="2:7" ht="24.75" customHeight="1">
      <c r="B36" s="283" t="s">
        <v>430</v>
      </c>
      <c r="C36" s="285">
        <f>SUM(C27:C35)</f>
        <v>802215.71000000008</v>
      </c>
      <c r="E36" s="51"/>
      <c r="F36" s="2"/>
      <c r="G36" s="18"/>
    </row>
    <row r="37" spans="2:7" ht="24.75" customHeight="1">
      <c r="B37" s="283"/>
      <c r="C37" s="285"/>
      <c r="E37" s="51"/>
      <c r="F37" s="2"/>
      <c r="G37" s="18"/>
    </row>
    <row r="38" spans="2:7" ht="24.75" customHeight="1">
      <c r="B38" s="286" t="s">
        <v>305</v>
      </c>
      <c r="C38" s="169">
        <f>+C24+C36</f>
        <v>3445587.94</v>
      </c>
      <c r="E38" s="51"/>
      <c r="F38" s="2"/>
      <c r="G38" s="18"/>
    </row>
    <row r="39" spans="2:7" ht="24.75" customHeight="1" thickBot="1">
      <c r="B39" s="107"/>
      <c r="C39" s="108"/>
      <c r="E39" s="355"/>
    </row>
    <row r="40" spans="2:7" ht="36.75" customHeight="1">
      <c r="G40" s="541"/>
    </row>
    <row r="41" spans="2:7" ht="24.75" customHeight="1">
      <c r="B41" s="55"/>
      <c r="C41" s="55"/>
      <c r="D41" s="55"/>
    </row>
    <row r="42" spans="2:7" ht="10.5" customHeight="1">
      <c r="C42" s="18"/>
      <c r="E42" s="2"/>
    </row>
    <row r="43" spans="2:7" ht="24.75" customHeight="1">
      <c r="C43" s="18"/>
      <c r="E43" s="2"/>
    </row>
    <row r="44" spans="2:7" ht="24.75" customHeight="1">
      <c r="C44" s="18"/>
      <c r="D44" s="2"/>
      <c r="E44" s="2"/>
    </row>
    <row r="45" spans="2:7" ht="24.75" customHeight="1">
      <c r="C45" s="2"/>
      <c r="D45" s="2"/>
      <c r="E45" s="2"/>
    </row>
    <row r="46" spans="2:7" ht="24.75" customHeight="1">
      <c r="C46" s="2"/>
      <c r="D46" s="2"/>
      <c r="E46" s="2"/>
    </row>
  </sheetData>
  <mergeCells count="4">
    <mergeCell ref="B5:C5"/>
    <mergeCell ref="B6:C6"/>
    <mergeCell ref="B4:C4"/>
    <mergeCell ref="B3:C3"/>
  </mergeCells>
  <phoneticPr fontId="43" type="noConversion"/>
  <pageMargins left="0.70866141732283472" right="0.70866141732283472" top="0.45" bottom="0.74803149606299213" header="0.31496062992125984" footer="0.31496062992125984"/>
  <pageSetup scale="84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3:J33"/>
  <sheetViews>
    <sheetView zoomScaleNormal="100" workbookViewId="0">
      <selection activeCell="D16" sqref="D16"/>
    </sheetView>
  </sheetViews>
  <sheetFormatPr baseColWidth="10" defaultColWidth="11.44140625" defaultRowHeight="24.75" customHeight="1"/>
  <cols>
    <col min="1" max="1" width="10.109375" style="1" customWidth="1"/>
    <col min="2" max="2" width="39.33203125" style="1" customWidth="1"/>
    <col min="3" max="4" width="19.33203125" style="1" customWidth="1"/>
    <col min="5" max="5" width="15.88671875" style="1" bestFit="1" customWidth="1"/>
    <col min="6" max="6" width="16" style="1" bestFit="1" customWidth="1"/>
    <col min="7" max="16384" width="11.44140625" style="1"/>
  </cols>
  <sheetData>
    <row r="3" spans="2:10" ht="24.75" customHeight="1">
      <c r="B3" s="551" t="s">
        <v>431</v>
      </c>
      <c r="C3" s="551"/>
      <c r="D3" s="551"/>
    </row>
    <row r="4" spans="2:10" ht="30" customHeight="1">
      <c r="B4" s="551" t="s">
        <v>284</v>
      </c>
      <c r="C4" s="551"/>
      <c r="D4" s="551"/>
    </row>
    <row r="5" spans="2:10" ht="31.5" customHeight="1">
      <c r="B5" s="574" t="s">
        <v>432</v>
      </c>
      <c r="C5" s="574"/>
      <c r="D5" s="574"/>
      <c r="I5" s="47"/>
      <c r="J5" s="47"/>
    </row>
    <row r="6" spans="2:10" ht="24.75" customHeight="1">
      <c r="B6" s="563">
        <v>45688</v>
      </c>
      <c r="C6" s="563"/>
      <c r="D6" s="563"/>
    </row>
    <row r="7" spans="2:10" ht="24.75" customHeight="1" thickBot="1">
      <c r="B7" s="67"/>
      <c r="C7" s="67"/>
      <c r="D7" s="67"/>
    </row>
    <row r="8" spans="2:10" ht="24.75" customHeight="1" thickBot="1">
      <c r="B8" s="70" t="s">
        <v>268</v>
      </c>
      <c r="C8" s="575" t="s">
        <v>287</v>
      </c>
      <c r="D8" s="576"/>
    </row>
    <row r="9" spans="2:10" ht="24.75" customHeight="1">
      <c r="B9" s="100" t="s">
        <v>433</v>
      </c>
      <c r="C9" s="101"/>
      <c r="D9" s="101">
        <f>+'NOTA 5-SEG PAG X ANT'!F52</f>
        <v>739985.59</v>
      </c>
    </row>
    <row r="10" spans="2:10" ht="24.75" customHeight="1">
      <c r="B10" s="100"/>
      <c r="C10" s="101"/>
      <c r="D10" s="101"/>
    </row>
    <row r="11" spans="2:10" ht="24.75" customHeight="1">
      <c r="B11" s="100" t="s">
        <v>434</v>
      </c>
      <c r="C11" s="101"/>
      <c r="D11" s="101"/>
    </row>
    <row r="12" spans="2:10" ht="24.75" customHeight="1">
      <c r="B12" s="102" t="s">
        <v>435</v>
      </c>
      <c r="C12" s="103">
        <v>140483.36999999988</v>
      </c>
      <c r="D12" s="103"/>
    </row>
    <row r="13" spans="2:10" ht="24.75" customHeight="1">
      <c r="B13" s="102" t="s">
        <v>436</v>
      </c>
      <c r="C13" s="103">
        <v>450000</v>
      </c>
      <c r="D13" s="103"/>
    </row>
    <row r="14" spans="2:10" ht="24.75" customHeight="1">
      <c r="B14" s="102" t="s">
        <v>437</v>
      </c>
      <c r="C14" s="104">
        <v>722500</v>
      </c>
      <c r="D14" s="103"/>
      <c r="E14" s="18"/>
    </row>
    <row r="15" spans="2:10" ht="24.75" hidden="1" customHeight="1">
      <c r="B15" s="102" t="s">
        <v>438</v>
      </c>
      <c r="C15" s="104">
        <v>0</v>
      </c>
      <c r="D15" s="103"/>
    </row>
    <row r="16" spans="2:10" ht="24.75" customHeight="1">
      <c r="B16" s="526" t="s">
        <v>439</v>
      </c>
      <c r="C16" s="104"/>
      <c r="D16" s="104">
        <f>SUM(C12:C14)</f>
        <v>1312983.3699999999</v>
      </c>
    </row>
    <row r="17" spans="2:5" ht="24.75" customHeight="1">
      <c r="B17" s="526"/>
      <c r="C17" s="104"/>
      <c r="D17" s="104"/>
    </row>
    <row r="18" spans="2:5" ht="24.75" customHeight="1">
      <c r="B18" s="105" t="s">
        <v>305</v>
      </c>
      <c r="C18" s="106"/>
      <c r="D18" s="106">
        <f>SUM(D9:D16)</f>
        <v>2052968.96</v>
      </c>
    </row>
    <row r="19" spans="2:5" ht="22.5" customHeight="1" thickBot="1">
      <c r="B19" s="107"/>
      <c r="C19" s="108"/>
      <c r="D19" s="108"/>
    </row>
    <row r="20" spans="2:5" ht="18" customHeight="1">
      <c r="B20" s="170"/>
      <c r="C20" s="170"/>
      <c r="D20" s="170"/>
    </row>
    <row r="21" spans="2:5" ht="18" customHeight="1">
      <c r="B21" s="170"/>
      <c r="C21" s="170"/>
      <c r="D21" s="520"/>
    </row>
    <row r="22" spans="2:5" ht="18" customHeight="1">
      <c r="B22" s="170"/>
      <c r="C22" s="170"/>
      <c r="D22" s="170"/>
    </row>
    <row r="23" spans="2:5" ht="18" customHeight="1">
      <c r="B23" s="170"/>
      <c r="C23" s="170"/>
      <c r="D23" s="170"/>
    </row>
    <row r="24" spans="2:5" ht="18" customHeight="1">
      <c r="B24" s="170"/>
      <c r="C24" s="170"/>
      <c r="D24" s="170"/>
      <c r="E24" s="18"/>
    </row>
    <row r="25" spans="2:5" ht="24.75" customHeight="1">
      <c r="D25" s="18"/>
    </row>
    <row r="26" spans="2:5" ht="24.75" hidden="1" customHeight="1">
      <c r="B26" s="1" t="s">
        <v>440</v>
      </c>
      <c r="D26" s="18">
        <f>-'NOTA 5-SEG PAG X ANT'!F49</f>
        <v>-246661.86</v>
      </c>
    </row>
    <row r="27" spans="2:5" ht="24.75" hidden="1" customHeight="1">
      <c r="B27" s="1" t="s">
        <v>441</v>
      </c>
      <c r="D27" s="18">
        <f>-'NOTA 5 - LIC MS 365 AMORTIZ'!F36</f>
        <v>-140483.32999999999</v>
      </c>
    </row>
    <row r="28" spans="2:5" ht="24.75" hidden="1" customHeight="1">
      <c r="B28" s="1" t="s">
        <v>442</v>
      </c>
      <c r="D28" s="18">
        <f>-'NOTA 5 LICENCIAS JIRA'!F33</f>
        <v>-75000</v>
      </c>
    </row>
    <row r="29" spans="2:5" ht="24.75" hidden="1" customHeight="1">
      <c r="B29" s="1" t="s">
        <v>443</v>
      </c>
      <c r="D29" s="18">
        <f>-'NOTA 5 Licencias Adobe'!F32</f>
        <v>-27433.334166666667</v>
      </c>
    </row>
    <row r="30" spans="2:5" ht="24.75" hidden="1" customHeight="1">
      <c r="B30" s="1" t="s">
        <v>444</v>
      </c>
      <c r="D30" s="18">
        <v>-278983.06</v>
      </c>
    </row>
    <row r="31" spans="2:5" ht="24.75" hidden="1" customHeight="1" thickBot="1">
      <c r="B31" s="1" t="s">
        <v>445</v>
      </c>
      <c r="D31" s="171">
        <f>SUM(D25:D30)</f>
        <v>-768561.58416666661</v>
      </c>
    </row>
    <row r="32" spans="2:5" ht="24.75" hidden="1" customHeight="1" thickTop="1"/>
    <row r="33" spans="4:4" ht="24.75" customHeight="1">
      <c r="D33" s="18"/>
    </row>
  </sheetData>
  <mergeCells count="5">
    <mergeCell ref="B3:D3"/>
    <mergeCell ref="B5:D5"/>
    <mergeCell ref="B6:D6"/>
    <mergeCell ref="B4:D4"/>
    <mergeCell ref="C8:D8"/>
  </mergeCells>
  <pageMargins left="0.7" right="0.7" top="0.75" bottom="0.75" header="0.3" footer="0.3"/>
  <pageSetup orientation="portrait" r:id="rId1"/>
  <ignoredErrors>
    <ignoredError sqref="D16" formulaRange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4:G54"/>
  <sheetViews>
    <sheetView topLeftCell="A20" zoomScale="110" zoomScaleNormal="110" workbookViewId="0">
      <selection activeCell="D16" sqref="D16"/>
    </sheetView>
  </sheetViews>
  <sheetFormatPr baseColWidth="10" defaultColWidth="11.5546875" defaultRowHeight="15.6"/>
  <cols>
    <col min="1" max="1" width="11.5546875" style="1" customWidth="1"/>
    <col min="2" max="2" width="24.5546875" style="1" customWidth="1"/>
    <col min="3" max="3" width="12" style="1" customWidth="1"/>
    <col min="4" max="4" width="19.33203125" style="1" bestFit="1" customWidth="1"/>
    <col min="5" max="5" width="11.5546875" style="1" customWidth="1"/>
    <col min="6" max="6" width="16.5546875" style="1" bestFit="1" customWidth="1"/>
    <col min="7" max="16384" width="11.5546875" style="1"/>
  </cols>
  <sheetData>
    <row r="4" spans="2:6" ht="16.2">
      <c r="B4" s="551" t="s">
        <v>431</v>
      </c>
      <c r="C4" s="551"/>
      <c r="D4" s="551"/>
      <c r="E4" s="551"/>
      <c r="F4" s="551"/>
    </row>
    <row r="5" spans="2:6" ht="16.2">
      <c r="B5" s="551" t="s">
        <v>284</v>
      </c>
      <c r="C5" s="551"/>
      <c r="D5" s="551"/>
      <c r="E5" s="551"/>
      <c r="F5" s="551"/>
    </row>
    <row r="6" spans="2:6" ht="16.2">
      <c r="B6" s="551" t="s">
        <v>446</v>
      </c>
      <c r="C6" s="551"/>
      <c r="D6" s="551"/>
      <c r="E6" s="551"/>
      <c r="F6" s="551"/>
    </row>
    <row r="7" spans="2:6" ht="16.2">
      <c r="B7" s="577">
        <v>45688</v>
      </c>
      <c r="C7" s="577"/>
      <c r="D7" s="577"/>
      <c r="E7" s="577"/>
      <c r="F7" s="577"/>
    </row>
    <row r="9" spans="2:6">
      <c r="B9" s="578" t="s">
        <v>447</v>
      </c>
      <c r="C9" s="578"/>
      <c r="D9" s="578"/>
      <c r="E9" s="578"/>
      <c r="F9" s="578"/>
    </row>
    <row r="10" spans="2:6" ht="16.2">
      <c r="B10" s="552" t="s">
        <v>448</v>
      </c>
      <c r="C10" s="552"/>
      <c r="D10" s="552"/>
      <c r="E10" s="552"/>
      <c r="F10" s="552"/>
    </row>
    <row r="11" spans="2:6" ht="16.2">
      <c r="B11" s="552" t="s">
        <v>449</v>
      </c>
      <c r="C11" s="552"/>
      <c r="D11" s="552"/>
      <c r="E11" s="552"/>
      <c r="F11" s="552"/>
    </row>
    <row r="12" spans="2:6" ht="16.2" thickBot="1">
      <c r="B12" s="17"/>
      <c r="C12" s="17"/>
      <c r="D12" s="17"/>
      <c r="E12" s="17"/>
      <c r="F12" s="17"/>
    </row>
    <row r="13" spans="2:6" ht="18" customHeight="1" thickBot="1">
      <c r="B13" s="70" t="s">
        <v>450</v>
      </c>
      <c r="C13" s="71"/>
      <c r="D13" s="71" t="s">
        <v>451</v>
      </c>
      <c r="E13" s="71"/>
      <c r="F13" s="228" t="s">
        <v>452</v>
      </c>
    </row>
    <row r="14" spans="2:6">
      <c r="B14" s="172" t="s">
        <v>453</v>
      </c>
      <c r="D14" s="1" t="s">
        <v>454</v>
      </c>
      <c r="F14" s="173">
        <v>594182.82999999996</v>
      </c>
    </row>
    <row r="15" spans="2:6">
      <c r="B15" s="172" t="s">
        <v>455</v>
      </c>
      <c r="D15" s="1" t="s">
        <v>456</v>
      </c>
      <c r="F15" s="173">
        <v>313416.84000000003</v>
      </c>
    </row>
    <row r="16" spans="2:6">
      <c r="B16" s="172" t="s">
        <v>457</v>
      </c>
      <c r="D16" s="1" t="s">
        <v>458</v>
      </c>
      <c r="F16" s="173">
        <v>5619.41</v>
      </c>
    </row>
    <row r="17" spans="1:7">
      <c r="B17" s="172" t="s">
        <v>459</v>
      </c>
      <c r="D17" s="1" t="s">
        <v>460</v>
      </c>
      <c r="F17" s="173">
        <v>23218.799999999999</v>
      </c>
    </row>
    <row r="18" spans="1:7">
      <c r="B18" s="172" t="s">
        <v>461</v>
      </c>
      <c r="D18" s="1" t="s">
        <v>462</v>
      </c>
      <c r="F18" s="173">
        <v>29979.7</v>
      </c>
    </row>
    <row r="19" spans="1:7">
      <c r="B19" s="172" t="s">
        <v>463</v>
      </c>
      <c r="D19" s="1" t="s">
        <v>464</v>
      </c>
      <c r="F19" s="173">
        <v>20229.87</v>
      </c>
    </row>
    <row r="20" spans="1:7" ht="18">
      <c r="B20" s="172" t="s">
        <v>465</v>
      </c>
      <c r="F20" s="174"/>
    </row>
    <row r="21" spans="1:7" ht="18">
      <c r="B21" s="175" t="s">
        <v>367</v>
      </c>
      <c r="C21" s="81"/>
      <c r="D21" s="81"/>
      <c r="E21" s="81"/>
      <c r="F21" s="176">
        <f>SUM(F14:F20)</f>
        <v>986647.45</v>
      </c>
    </row>
    <row r="22" spans="1:7">
      <c r="F22" s="55"/>
    </row>
    <row r="23" spans="1:7">
      <c r="B23" s="177" t="s">
        <v>466</v>
      </c>
      <c r="C23" s="178"/>
      <c r="D23" s="178"/>
      <c r="E23" s="178"/>
      <c r="F23" s="179">
        <v>986647.45</v>
      </c>
    </row>
    <row r="24" spans="1:7" ht="18">
      <c r="B24" s="180"/>
      <c r="F24" s="174"/>
    </row>
    <row r="25" spans="1:7" ht="18">
      <c r="B25" s="181" t="s">
        <v>467</v>
      </c>
      <c r="C25" s="61"/>
      <c r="D25" s="61"/>
      <c r="E25" s="61"/>
      <c r="F25" s="182">
        <f>SUM(F23:F24)</f>
        <v>986647.45</v>
      </c>
    </row>
    <row r="26" spans="1:7">
      <c r="A26" s="388"/>
      <c r="F26" s="55"/>
    </row>
    <row r="27" spans="1:7">
      <c r="F27" s="2"/>
    </row>
    <row r="28" spans="1:7">
      <c r="B28" s="183" t="s">
        <v>468</v>
      </c>
      <c r="C28" s="183"/>
      <c r="D28" s="183"/>
      <c r="E28" s="183"/>
      <c r="F28" s="184">
        <f>+F21/12</f>
        <v>82220.620833333334</v>
      </c>
    </row>
    <row r="29" spans="1:7">
      <c r="F29" s="2"/>
    </row>
    <row r="30" spans="1:7">
      <c r="B30" s="1" t="s">
        <v>469</v>
      </c>
      <c r="D30" s="1">
        <v>2</v>
      </c>
      <c r="F30" s="2">
        <f>+F28*D30</f>
        <v>164441.24166666667</v>
      </c>
      <c r="G30" s="18"/>
    </row>
    <row r="31" spans="1:7">
      <c r="F31" s="2"/>
    </row>
    <row r="32" spans="1:7">
      <c r="B32" s="1" t="s">
        <v>470</v>
      </c>
      <c r="D32" s="1">
        <v>3</v>
      </c>
      <c r="F32" s="2">
        <f>+D32*F28</f>
        <v>246661.86249999999</v>
      </c>
      <c r="G32" s="18"/>
    </row>
    <row r="33" spans="1:7">
      <c r="F33" s="2"/>
    </row>
    <row r="34" spans="1:7">
      <c r="B34" s="1" t="s">
        <v>471</v>
      </c>
      <c r="D34" s="1">
        <v>7</v>
      </c>
      <c r="F34" s="2">
        <f>+D34*F28</f>
        <v>575544.34583333333</v>
      </c>
      <c r="G34" s="18"/>
    </row>
    <row r="35" spans="1:7">
      <c r="F35" s="2"/>
    </row>
    <row r="36" spans="1:7">
      <c r="A36" s="449"/>
      <c r="B36" s="449" t="s">
        <v>472</v>
      </c>
      <c r="C36" s="449"/>
      <c r="D36" s="449"/>
      <c r="E36" s="449"/>
      <c r="F36" s="450">
        <v>82220.62</v>
      </c>
      <c r="G36" s="18"/>
    </row>
    <row r="37" spans="1:7">
      <c r="B37" s="1" t="s">
        <v>473</v>
      </c>
      <c r="C37" s="3"/>
      <c r="D37" s="3"/>
      <c r="E37" s="3"/>
      <c r="F37" s="450">
        <v>82220.62</v>
      </c>
    </row>
    <row r="38" spans="1:7">
      <c r="B38" s="3" t="s">
        <v>474</v>
      </c>
      <c r="F38" s="26">
        <v>82220.62</v>
      </c>
    </row>
    <row r="39" spans="1:7" hidden="1">
      <c r="B39" s="1" t="s">
        <v>475</v>
      </c>
      <c r="F39" s="2"/>
    </row>
    <row r="40" spans="1:7" hidden="1">
      <c r="B40" s="1" t="s">
        <v>476</v>
      </c>
      <c r="F40" s="2"/>
    </row>
    <row r="41" spans="1:7" hidden="1">
      <c r="B41" s="1" t="s">
        <v>477</v>
      </c>
      <c r="F41" s="2"/>
    </row>
    <row r="42" spans="1:7" hidden="1">
      <c r="B42" s="1" t="s">
        <v>478</v>
      </c>
      <c r="F42" s="2"/>
    </row>
    <row r="43" spans="1:7" hidden="1">
      <c r="B43" s="1" t="s">
        <v>479</v>
      </c>
      <c r="F43" s="2"/>
    </row>
    <row r="44" spans="1:7" hidden="1">
      <c r="B44" s="1" t="s">
        <v>480</v>
      </c>
      <c r="F44" s="2"/>
    </row>
    <row r="45" spans="1:7" hidden="1">
      <c r="B45" s="1" t="s">
        <v>481</v>
      </c>
      <c r="F45" s="2"/>
    </row>
    <row r="46" spans="1:7" hidden="1">
      <c r="B46" s="1" t="s">
        <v>482</v>
      </c>
      <c r="F46" s="2"/>
    </row>
    <row r="47" spans="1:7" hidden="1">
      <c r="B47" s="1" t="s">
        <v>483</v>
      </c>
      <c r="F47" s="26"/>
    </row>
    <row r="48" spans="1:7" hidden="1">
      <c r="B48" s="449" t="s">
        <v>484</v>
      </c>
      <c r="F48" s="2"/>
    </row>
    <row r="49" spans="2:6" ht="16.2">
      <c r="B49" s="1" t="s">
        <v>485</v>
      </c>
      <c r="F49" s="185">
        <f>SUM(F36:F47)</f>
        <v>246661.86</v>
      </c>
    </row>
    <row r="50" spans="2:6" ht="16.2">
      <c r="F50" s="95"/>
    </row>
    <row r="51" spans="2:6">
      <c r="F51" s="55"/>
    </row>
    <row r="52" spans="2:6" ht="22.5" customHeight="1">
      <c r="B52" s="134" t="s">
        <v>486</v>
      </c>
      <c r="C52" s="134"/>
      <c r="D52" s="134"/>
      <c r="E52" s="134"/>
      <c r="F52" s="186">
        <f>+F25-F49</f>
        <v>739985.59</v>
      </c>
    </row>
    <row r="54" spans="2:6">
      <c r="F54" s="18"/>
    </row>
  </sheetData>
  <mergeCells count="7">
    <mergeCell ref="B4:F4"/>
    <mergeCell ref="B5:F5"/>
    <mergeCell ref="B7:F7"/>
    <mergeCell ref="B10:F10"/>
    <mergeCell ref="B11:F11"/>
    <mergeCell ref="B6:F6"/>
    <mergeCell ref="B9:F9"/>
  </mergeCells>
  <phoneticPr fontId="43" type="noConversion"/>
  <pageMargins left="0.11811023622047245" right="0.70866141732283472" top="0.74803149606299213" bottom="0.74803149606299213" header="0.31496062992125984" footer="0.31496062992125984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G56"/>
  <sheetViews>
    <sheetView view="pageBreakPreview" topLeftCell="A25" zoomScaleNormal="100" zoomScaleSheetLayoutView="100" workbookViewId="0">
      <selection activeCell="D16" sqref="D16"/>
    </sheetView>
  </sheetViews>
  <sheetFormatPr baseColWidth="10" defaultColWidth="11.44140625" defaultRowHeight="24.75" customHeight="1"/>
  <cols>
    <col min="1" max="1" width="4.6640625" style="207" customWidth="1"/>
    <col min="2" max="2" width="33" style="207" bestFit="1" customWidth="1"/>
    <col min="3" max="3" width="13.5546875" style="207" customWidth="1"/>
    <col min="4" max="4" width="17" style="207" customWidth="1"/>
    <col min="5" max="5" width="12" style="207" bestFit="1" customWidth="1"/>
    <col min="6" max="6" width="18.88671875" style="207" customWidth="1"/>
    <col min="7" max="7" width="16" style="1" bestFit="1" customWidth="1"/>
    <col min="8" max="16384" width="11.44140625" style="1"/>
  </cols>
  <sheetData>
    <row r="1" spans="1:6" ht="15.9" customHeight="1">
      <c r="A1" s="1"/>
      <c r="B1" s="1"/>
      <c r="C1" s="1"/>
      <c r="D1" s="1"/>
      <c r="E1" s="1"/>
      <c r="F1" s="1"/>
    </row>
    <row r="2" spans="1:6" ht="15.9" customHeight="1">
      <c r="A2" s="1"/>
      <c r="B2" s="1"/>
      <c r="C2" s="1"/>
      <c r="D2" s="1"/>
      <c r="E2" s="1"/>
      <c r="F2" s="1"/>
    </row>
    <row r="3" spans="1:6" ht="15.9" customHeight="1">
      <c r="A3" s="1"/>
      <c r="B3" s="551" t="s">
        <v>431</v>
      </c>
      <c r="C3" s="551"/>
      <c r="D3" s="551"/>
      <c r="E3" s="551"/>
      <c r="F3" s="551"/>
    </row>
    <row r="4" spans="1:6" ht="15.9" customHeight="1">
      <c r="A4" s="1"/>
      <c r="B4" s="551" t="s">
        <v>284</v>
      </c>
      <c r="C4" s="551"/>
      <c r="D4" s="551"/>
      <c r="E4" s="551"/>
      <c r="F4" s="551"/>
    </row>
    <row r="5" spans="1:6" ht="15.9" customHeight="1">
      <c r="A5" s="1"/>
      <c r="B5" s="551" t="s">
        <v>487</v>
      </c>
      <c r="C5" s="551"/>
      <c r="D5" s="551"/>
      <c r="E5" s="551"/>
      <c r="F5" s="551"/>
    </row>
    <row r="6" spans="1:6" ht="15.9" customHeight="1">
      <c r="A6" s="1"/>
      <c r="B6" s="577">
        <v>45688</v>
      </c>
      <c r="C6" s="577"/>
      <c r="D6" s="577"/>
      <c r="E6" s="577"/>
      <c r="F6" s="577"/>
    </row>
    <row r="7" spans="1:6" ht="15.9" customHeight="1">
      <c r="A7" s="1"/>
      <c r="B7" s="1"/>
      <c r="C7" s="1"/>
      <c r="D7" s="1"/>
      <c r="E7" s="1"/>
      <c r="F7" s="1"/>
    </row>
    <row r="8" spans="1:6" ht="21.75" customHeight="1">
      <c r="A8" s="1"/>
      <c r="B8" s="578" t="s">
        <v>488</v>
      </c>
      <c r="C8" s="578"/>
      <c r="D8" s="578"/>
      <c r="E8" s="578"/>
      <c r="F8" s="578"/>
    </row>
    <row r="9" spans="1:6" ht="21.75" customHeight="1">
      <c r="A9" s="1"/>
      <c r="B9" s="552" t="s">
        <v>489</v>
      </c>
      <c r="C9" s="552"/>
      <c r="D9" s="552"/>
      <c r="E9" s="552"/>
      <c r="F9" s="552"/>
    </row>
    <row r="10" spans="1:6" ht="21.75" customHeight="1">
      <c r="A10" s="1"/>
      <c r="B10" s="552" t="s">
        <v>490</v>
      </c>
      <c r="C10" s="552"/>
      <c r="D10" s="552"/>
      <c r="E10" s="552"/>
      <c r="F10" s="552"/>
    </row>
    <row r="11" spans="1:6" ht="15.9" customHeight="1" thickBot="1">
      <c r="A11" s="1"/>
      <c r="B11" s="1"/>
      <c r="C11" s="1"/>
      <c r="D11" s="1"/>
      <c r="E11" s="1"/>
      <c r="F11" s="1"/>
    </row>
    <row r="12" spans="1:6" ht="23.25" customHeight="1" thickBot="1">
      <c r="A12" s="1"/>
      <c r="B12" s="187" t="s">
        <v>374</v>
      </c>
      <c r="C12" s="188"/>
      <c r="D12" s="188" t="s">
        <v>491</v>
      </c>
      <c r="E12" s="188"/>
      <c r="F12" s="189" t="s">
        <v>452</v>
      </c>
    </row>
    <row r="13" spans="1:6" ht="22.5" customHeight="1">
      <c r="A13" s="1"/>
      <c r="B13" s="190" t="s">
        <v>492</v>
      </c>
      <c r="C13" s="191"/>
      <c r="D13" s="192" t="s">
        <v>493</v>
      </c>
      <c r="E13" s="191"/>
      <c r="F13" s="193">
        <v>1685800</v>
      </c>
    </row>
    <row r="14" spans="1:6" ht="23.25" customHeight="1" thickBot="1">
      <c r="A14" s="1"/>
      <c r="B14" s="194" t="s">
        <v>367</v>
      </c>
      <c r="C14" s="195"/>
      <c r="D14" s="195"/>
      <c r="E14" s="195"/>
      <c r="F14" s="196">
        <f>SUM(F13:F13)</f>
        <v>1685800</v>
      </c>
    </row>
    <row r="15" spans="1:6" ht="15.9" customHeight="1" thickBot="1">
      <c r="A15" s="1"/>
      <c r="B15" s="1"/>
      <c r="C15" s="1"/>
      <c r="D15" s="1"/>
      <c r="E15" s="1"/>
      <c r="F15" s="1"/>
    </row>
    <row r="16" spans="1:6" ht="24" customHeight="1" thickBot="1">
      <c r="A16" s="1"/>
      <c r="B16" s="187" t="s">
        <v>372</v>
      </c>
      <c r="C16" s="188" t="s">
        <v>494</v>
      </c>
      <c r="D16" s="188"/>
      <c r="E16" s="188" t="s">
        <v>495</v>
      </c>
      <c r="F16" s="189" t="s">
        <v>373</v>
      </c>
    </row>
    <row r="17" spans="1:6" ht="18" customHeight="1">
      <c r="A17" s="1"/>
      <c r="B17" s="197" t="s">
        <v>496</v>
      </c>
      <c r="C17" s="191" t="s">
        <v>497</v>
      </c>
      <c r="D17" s="191"/>
      <c r="E17" s="198">
        <v>45367</v>
      </c>
      <c r="F17" s="199">
        <v>1685800</v>
      </c>
    </row>
    <row r="18" spans="1:6" ht="18.75" customHeight="1">
      <c r="A18" s="1"/>
      <c r="B18" s="200"/>
      <c r="C18" s="201"/>
      <c r="D18" s="201"/>
      <c r="E18" s="202"/>
      <c r="F18" s="203"/>
    </row>
    <row r="19" spans="1:6" ht="15.9" customHeight="1">
      <c r="A19" s="1"/>
      <c r="B19" s="1"/>
      <c r="C19" s="1"/>
      <c r="D19" s="1"/>
      <c r="E19" s="1"/>
      <c r="F19" s="1"/>
    </row>
    <row r="20" spans="1:6" ht="15.9" customHeight="1">
      <c r="A20" s="1"/>
      <c r="B20" s="183" t="s">
        <v>468</v>
      </c>
      <c r="C20" s="183"/>
      <c r="D20" s="183"/>
      <c r="E20" s="183"/>
      <c r="F20" s="184">
        <f>+F17/12</f>
        <v>140483.33333333334</v>
      </c>
    </row>
    <row r="21" spans="1:6" ht="15.9" customHeight="1">
      <c r="A21" s="1"/>
      <c r="B21" s="1"/>
      <c r="C21" s="1"/>
      <c r="D21" s="1"/>
      <c r="E21" s="1"/>
      <c r="F21" s="2"/>
    </row>
    <row r="22" spans="1:6" ht="15.9" customHeight="1">
      <c r="A22" s="1"/>
      <c r="B22" s="17" t="s">
        <v>498</v>
      </c>
      <c r="C22" s="17" t="s">
        <v>499</v>
      </c>
      <c r="D22" s="2">
        <f>+F20</f>
        <v>140483.33333333334</v>
      </c>
      <c r="E22" s="23" t="s">
        <v>500</v>
      </c>
      <c r="F22" s="2">
        <f>+D22*10-0.01</f>
        <v>1404833.3233333335</v>
      </c>
    </row>
    <row r="23" spans="1:6" ht="15.9" customHeight="1">
      <c r="A23" s="1"/>
      <c r="B23" s="17"/>
      <c r="C23" s="17"/>
      <c r="D23" s="2"/>
      <c r="E23" s="17"/>
      <c r="F23" s="2"/>
    </row>
    <row r="24" spans="1:6" ht="15.9" customHeight="1">
      <c r="A24" s="1"/>
      <c r="B24" s="17" t="s">
        <v>501</v>
      </c>
      <c r="C24" s="17" t="s">
        <v>502</v>
      </c>
      <c r="D24" s="2">
        <f>+F20</f>
        <v>140483.33333333334</v>
      </c>
      <c r="E24" s="23" t="s">
        <v>503</v>
      </c>
      <c r="F24" s="2">
        <f>+F17-F22</f>
        <v>280966.67666666652</v>
      </c>
    </row>
    <row r="25" spans="1:6" ht="15.9" customHeight="1">
      <c r="A25" s="1"/>
      <c r="B25" s="1"/>
      <c r="C25" s="17"/>
      <c r="D25" s="2"/>
      <c r="E25" s="1"/>
      <c r="F25" s="1"/>
    </row>
    <row r="26" spans="1:6" ht="15.9" customHeight="1">
      <c r="A26" s="1"/>
      <c r="B26" s="1"/>
      <c r="C26" s="17"/>
      <c r="D26" s="2"/>
      <c r="E26" s="1"/>
      <c r="F26" s="1"/>
    </row>
    <row r="27" spans="1:6" ht="15.9" customHeight="1">
      <c r="A27" s="1"/>
      <c r="B27" s="1"/>
      <c r="C27" s="17"/>
      <c r="D27" s="2"/>
      <c r="E27" s="1"/>
      <c r="F27" s="1"/>
    </row>
    <row r="28" spans="1:6" ht="18" customHeight="1">
      <c r="A28" s="1"/>
      <c r="B28" s="65" t="s">
        <v>504</v>
      </c>
      <c r="C28" s="65"/>
      <c r="D28" s="65"/>
      <c r="E28" s="65"/>
      <c r="F28" s="2">
        <v>140483.32999999999</v>
      </c>
    </row>
    <row r="29" spans="1:6" ht="18" customHeight="1">
      <c r="A29" s="1"/>
      <c r="B29" s="65" t="s">
        <v>505</v>
      </c>
      <c r="C29" s="65"/>
      <c r="D29" s="65"/>
      <c r="E29" s="65"/>
      <c r="F29" s="2">
        <v>140483.32999999999</v>
      </c>
    </row>
    <row r="30" spans="1:6" ht="18" customHeight="1">
      <c r="A30" s="1"/>
      <c r="B30" s="65" t="s">
        <v>506</v>
      </c>
      <c r="C30" s="3"/>
      <c r="D30" s="3"/>
      <c r="E30" s="3"/>
      <c r="F30" s="2">
        <v>140483.32999999999</v>
      </c>
    </row>
    <row r="31" spans="1:6" ht="18" customHeight="1">
      <c r="A31" s="1"/>
      <c r="B31" s="1" t="s">
        <v>507</v>
      </c>
      <c r="C31" s="3"/>
      <c r="D31" s="3"/>
      <c r="E31" s="3"/>
      <c r="F31" s="2">
        <v>140483.32999999999</v>
      </c>
    </row>
    <row r="32" spans="1:6" ht="18" customHeight="1">
      <c r="A32" s="1"/>
      <c r="B32" s="1" t="s">
        <v>508</v>
      </c>
      <c r="C32" s="3"/>
      <c r="D32" s="3"/>
      <c r="E32" s="3"/>
      <c r="F32" s="2">
        <v>140483.32999999999</v>
      </c>
    </row>
    <row r="33" spans="1:7" ht="18" customHeight="1">
      <c r="A33" s="1"/>
      <c r="B33" s="1" t="s">
        <v>509</v>
      </c>
      <c r="C33" s="65"/>
      <c r="D33" s="65"/>
      <c r="E33" s="65"/>
      <c r="F33" s="2">
        <v>140483.32999999999</v>
      </c>
    </row>
    <row r="34" spans="1:7" ht="18" customHeight="1">
      <c r="A34" s="1"/>
      <c r="B34" s="1" t="s">
        <v>510</v>
      </c>
      <c r="C34" s="65"/>
      <c r="D34" s="65"/>
      <c r="E34" s="65"/>
      <c r="F34" s="2">
        <v>140483.32999999999</v>
      </c>
    </row>
    <row r="35" spans="1:7" ht="15.6">
      <c r="A35" s="1"/>
      <c r="B35" s="1" t="s">
        <v>511</v>
      </c>
      <c r="C35" s="65"/>
      <c r="D35" s="65"/>
      <c r="E35" s="65"/>
      <c r="F35" s="2">
        <v>140483.32999999999</v>
      </c>
    </row>
    <row r="36" spans="1:7" ht="15.6">
      <c r="A36" s="1"/>
      <c r="B36" s="449" t="s">
        <v>512</v>
      </c>
      <c r="C36" s="65"/>
      <c r="D36" s="65"/>
      <c r="E36" s="65"/>
      <c r="F36" s="53">
        <f>+F35</f>
        <v>140483.32999999999</v>
      </c>
    </row>
    <row r="37" spans="1:7" ht="15.6">
      <c r="A37" s="1"/>
      <c r="B37" s="1" t="s">
        <v>513</v>
      </c>
      <c r="C37" s="3"/>
      <c r="D37" s="3"/>
      <c r="E37" s="3"/>
      <c r="F37" s="53">
        <f>+F36</f>
        <v>140483.32999999999</v>
      </c>
    </row>
    <row r="38" spans="1:7" ht="18">
      <c r="A38" s="1"/>
      <c r="B38" s="3" t="s">
        <v>514</v>
      </c>
      <c r="C38" s="1"/>
      <c r="D38" s="1"/>
      <c r="E38" s="1"/>
      <c r="F38" s="204">
        <f>+F37</f>
        <v>140483.32999999999</v>
      </c>
    </row>
    <row r="39" spans="1:7" ht="15.6" hidden="1">
      <c r="A39" s="1"/>
      <c r="B39" s="1" t="s">
        <v>515</v>
      </c>
      <c r="C39" s="65"/>
      <c r="D39" s="65"/>
      <c r="E39" s="65"/>
      <c r="F39" s="2"/>
    </row>
    <row r="40" spans="1:7" ht="18" hidden="1">
      <c r="A40" s="1"/>
      <c r="B40" s="1" t="s">
        <v>516</v>
      </c>
      <c r="C40" s="1"/>
      <c r="D40" s="1"/>
      <c r="E40" s="1"/>
      <c r="F40" s="204"/>
    </row>
    <row r="41" spans="1:7" ht="18" customHeight="1">
      <c r="A41" s="1"/>
      <c r="B41" s="1"/>
      <c r="C41" s="65"/>
      <c r="D41" s="65"/>
      <c r="E41" s="65"/>
      <c r="F41" s="63">
        <f>SUM(F28:F39)+0</f>
        <v>1545316.6300000001</v>
      </c>
      <c r="G41" s="18"/>
    </row>
    <row r="42" spans="1:7" ht="15.9" customHeight="1">
      <c r="A42" s="1"/>
      <c r="B42" s="134" t="s">
        <v>126</v>
      </c>
      <c r="C42" s="65"/>
      <c r="D42" s="65"/>
      <c r="E42" s="65"/>
      <c r="F42" s="53"/>
    </row>
    <row r="43" spans="1:7" ht="23.25" customHeight="1">
      <c r="A43" s="1"/>
      <c r="B43" s="65"/>
      <c r="C43" s="134"/>
      <c r="D43" s="134"/>
      <c r="E43" s="134"/>
      <c r="F43" s="205">
        <f>+F14-F41</f>
        <v>140483.36999999988</v>
      </c>
      <c r="G43" s="325"/>
    </row>
    <row r="44" spans="1:7" ht="15.9" customHeight="1">
      <c r="A44" s="1"/>
      <c r="B44" s="134" t="s">
        <v>486</v>
      </c>
      <c r="C44" s="65"/>
      <c r="D44" s="65"/>
      <c r="E44" s="65"/>
      <c r="F44" s="53"/>
    </row>
    <row r="45" spans="1:7" ht="24.75" customHeight="1">
      <c r="A45" s="1"/>
      <c r="B45" s="65"/>
      <c r="C45" s="65" t="s">
        <v>517</v>
      </c>
      <c r="D45" s="206">
        <f>+F35</f>
        <v>140483.32999999999</v>
      </c>
      <c r="E45" s="65"/>
    </row>
    <row r="46" spans="1:7" ht="24.75" customHeight="1">
      <c r="A46" s="1"/>
      <c r="B46" s="65"/>
      <c r="C46" s="207" t="s">
        <v>518</v>
      </c>
      <c r="D46" s="208">
        <f>+'NOTA 5 LICENCIAS JIRA'!F31</f>
        <v>75000</v>
      </c>
      <c r="E46" s="65"/>
    </row>
    <row r="47" spans="1:7" ht="24.75" customHeight="1">
      <c r="B47" s="65"/>
      <c r="C47" s="207" t="s">
        <v>519</v>
      </c>
      <c r="D47" s="208">
        <f>+'NOTA 5 Licencias Adobe'!F30</f>
        <v>27433.334166666667</v>
      </c>
      <c r="F47" s="209">
        <f>+F43+F35</f>
        <v>280966.69999999984</v>
      </c>
    </row>
    <row r="48" spans="1:7" ht="24.75" customHeight="1">
      <c r="C48" s="207" t="s">
        <v>305</v>
      </c>
      <c r="D48" s="210">
        <f>SUM(D45:D47)</f>
        <v>242916.66416666665</v>
      </c>
      <c r="F48" s="209"/>
    </row>
    <row r="49" spans="4:6" ht="24.75" customHeight="1" thickTop="1">
      <c r="F49" s="209"/>
    </row>
    <row r="50" spans="4:6" ht="24.75" customHeight="1">
      <c r="D50" s="211">
        <v>329200.01</v>
      </c>
      <c r="F50" s="209"/>
    </row>
    <row r="51" spans="4:6" ht="24.75" customHeight="1">
      <c r="F51" s="211"/>
    </row>
    <row r="52" spans="4:6" ht="24.75" customHeight="1">
      <c r="D52" s="209">
        <f>+D48+D50</f>
        <v>572116.67416666669</v>
      </c>
      <c r="F52" s="209"/>
    </row>
    <row r="53" spans="4:6" ht="24.75" customHeight="1">
      <c r="F53" s="211"/>
    </row>
    <row r="55" spans="4:6" ht="24.75" customHeight="1">
      <c r="D55" s="209"/>
    </row>
    <row r="56" spans="4:6" ht="24.75" customHeight="1">
      <c r="D56" s="209"/>
    </row>
  </sheetData>
  <mergeCells count="7">
    <mergeCell ref="B10:F10"/>
    <mergeCell ref="B3:F3"/>
    <mergeCell ref="B4:F4"/>
    <mergeCell ref="B5:F5"/>
    <mergeCell ref="B6:F6"/>
    <mergeCell ref="B8:F8"/>
    <mergeCell ref="B9:F9"/>
  </mergeCells>
  <phoneticPr fontId="43" type="noConversion"/>
  <pageMargins left="0.70866141732283472" right="0.70866141732283472" top="0.74803149606299213" bottom="0.74803149606299213" header="0.31496062992125984" footer="0.31496062992125984"/>
  <pageSetup scale="93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5A74F-8E1F-4C20-B40A-9CF8D7BFFBCF}">
  <sheetPr>
    <pageSetUpPr fitToPage="1"/>
  </sheetPr>
  <dimension ref="B5:F47"/>
  <sheetViews>
    <sheetView topLeftCell="A23" workbookViewId="0">
      <selection activeCell="D16" sqref="D16"/>
    </sheetView>
  </sheetViews>
  <sheetFormatPr baseColWidth="10" defaultColWidth="11.44140625" defaultRowHeight="13.8"/>
  <cols>
    <col min="1" max="1" width="2.5546875" style="130" customWidth="1"/>
    <col min="2" max="2" width="34.6640625" style="130" bestFit="1" customWidth="1"/>
    <col min="3" max="3" width="27.88671875" style="130" bestFit="1" customWidth="1"/>
    <col min="4" max="4" width="14.109375" style="130" bestFit="1" customWidth="1"/>
    <col min="5" max="5" width="11.44140625" style="130"/>
    <col min="6" max="6" width="16.44140625" style="130" bestFit="1" customWidth="1"/>
    <col min="7" max="16384" width="11.44140625" style="130"/>
  </cols>
  <sheetData>
    <row r="5" spans="2:6" ht="18.600000000000001">
      <c r="B5" s="547" t="s">
        <v>431</v>
      </c>
      <c r="C5" s="547"/>
      <c r="D5" s="547"/>
      <c r="E5" s="547"/>
      <c r="F5" s="547"/>
    </row>
    <row r="6" spans="2:6" ht="18.600000000000001">
      <c r="B6" s="547" t="s">
        <v>284</v>
      </c>
      <c r="C6" s="547"/>
      <c r="D6" s="547"/>
      <c r="E6" s="547"/>
      <c r="F6" s="547"/>
    </row>
    <row r="7" spans="2:6" ht="16.2">
      <c r="B7" s="551" t="s">
        <v>436</v>
      </c>
      <c r="C7" s="551"/>
      <c r="D7" s="551"/>
      <c r="E7" s="551"/>
      <c r="F7" s="551"/>
    </row>
    <row r="8" spans="2:6" ht="16.2">
      <c r="B8" s="577">
        <v>45657</v>
      </c>
      <c r="C8" s="577"/>
      <c r="D8" s="577"/>
      <c r="E8" s="577"/>
      <c r="F8" s="577"/>
    </row>
    <row r="9" spans="2:6" ht="15.6">
      <c r="B9" s="1"/>
      <c r="C9" s="1"/>
      <c r="D9" s="1"/>
      <c r="E9" s="1"/>
      <c r="F9" s="1"/>
    </row>
    <row r="10" spans="2:6" ht="15.6">
      <c r="B10" s="578" t="s">
        <v>520</v>
      </c>
      <c r="C10" s="578"/>
      <c r="D10" s="578"/>
      <c r="E10" s="578"/>
      <c r="F10" s="578"/>
    </row>
    <row r="11" spans="2:6" ht="16.2">
      <c r="B11" s="552" t="s">
        <v>521</v>
      </c>
      <c r="C11" s="552"/>
      <c r="D11" s="552"/>
      <c r="E11" s="552"/>
      <c r="F11" s="552"/>
    </row>
    <row r="12" spans="2:6" ht="15.6">
      <c r="B12" s="552" t="s">
        <v>522</v>
      </c>
      <c r="C12" s="552"/>
      <c r="D12" s="552"/>
      <c r="E12" s="552"/>
      <c r="F12" s="552"/>
    </row>
    <row r="13" spans="2:6" ht="16.2" thickBot="1">
      <c r="B13" s="1"/>
      <c r="C13" s="1"/>
      <c r="D13" s="1"/>
      <c r="E13" s="1"/>
      <c r="F13" s="1"/>
    </row>
    <row r="14" spans="2:6" ht="16.8" thickBot="1">
      <c r="B14" s="187" t="s">
        <v>374</v>
      </c>
      <c r="C14" s="188"/>
      <c r="D14" s="188" t="s">
        <v>491</v>
      </c>
      <c r="E14" s="188"/>
      <c r="F14" s="189" t="s">
        <v>452</v>
      </c>
    </row>
    <row r="15" spans="2:6" ht="20.25" customHeight="1">
      <c r="B15" s="212" t="s">
        <v>523</v>
      </c>
      <c r="C15" s="191"/>
      <c r="D15" s="192" t="s">
        <v>493</v>
      </c>
      <c r="E15" s="191"/>
      <c r="F15" s="193">
        <v>900000</v>
      </c>
    </row>
    <row r="16" spans="2:6" ht="18.600000000000001" thickBot="1">
      <c r="B16" s="194" t="s">
        <v>367</v>
      </c>
      <c r="C16" s="195"/>
      <c r="D16" s="195"/>
      <c r="E16" s="195"/>
      <c r="F16" s="196">
        <f>SUM(F15:F15)</f>
        <v>900000</v>
      </c>
    </row>
    <row r="17" spans="2:6" ht="16.2" thickBot="1">
      <c r="B17" s="1"/>
      <c r="C17" s="1"/>
      <c r="D17" s="1"/>
      <c r="E17" s="1"/>
      <c r="F17" s="1"/>
    </row>
    <row r="18" spans="2:6" ht="16.8" thickBot="1">
      <c r="B18" s="187" t="s">
        <v>372</v>
      </c>
      <c r="C18" s="188" t="s">
        <v>494</v>
      </c>
      <c r="D18" s="188"/>
      <c r="E18" s="188" t="s">
        <v>495</v>
      </c>
      <c r="F18" s="189" t="s">
        <v>373</v>
      </c>
    </row>
    <row r="19" spans="2:6" ht="15.6">
      <c r="B19" s="214" t="s">
        <v>524</v>
      </c>
      <c r="C19" s="215" t="s">
        <v>525</v>
      </c>
      <c r="D19" s="216"/>
      <c r="E19" s="217">
        <v>45510</v>
      </c>
      <c r="F19" s="218">
        <v>900000</v>
      </c>
    </row>
    <row r="20" spans="2:6" ht="18.600000000000001" thickBot="1">
      <c r="B20" s="219"/>
      <c r="C20" s="220"/>
      <c r="D20" s="220"/>
      <c r="E20" s="221"/>
      <c r="F20" s="222"/>
    </row>
    <row r="21" spans="2:6" ht="15.6">
      <c r="B21" s="1"/>
      <c r="C21" s="1"/>
      <c r="D21" s="1"/>
      <c r="E21" s="1"/>
      <c r="F21" s="1"/>
    </row>
    <row r="22" spans="2:6" ht="15.6">
      <c r="B22" s="183" t="s">
        <v>468</v>
      </c>
      <c r="C22" s="183"/>
      <c r="D22" s="183"/>
      <c r="E22" s="183"/>
      <c r="F22" s="184">
        <f>+F19/12</f>
        <v>75000</v>
      </c>
    </row>
    <row r="23" spans="2:6" ht="15.6">
      <c r="B23" s="1"/>
      <c r="C23" s="1"/>
      <c r="D23" s="1"/>
      <c r="E23" s="1"/>
      <c r="F23" s="2"/>
    </row>
    <row r="24" spans="2:6" ht="15.6">
      <c r="B24" s="213" t="s">
        <v>526</v>
      </c>
      <c r="C24" s="17" t="s">
        <v>527</v>
      </c>
      <c r="D24" s="2">
        <f>+F22</f>
        <v>75000</v>
      </c>
      <c r="E24" s="23" t="s">
        <v>528</v>
      </c>
      <c r="F24" s="2">
        <f>+D24*5</f>
        <v>375000</v>
      </c>
    </row>
    <row r="25" spans="2:6" ht="15.6">
      <c r="B25" s="17"/>
      <c r="C25" s="17"/>
      <c r="D25" s="2"/>
      <c r="E25" s="17"/>
      <c r="F25" s="2"/>
    </row>
    <row r="26" spans="2:6" ht="15.6">
      <c r="B26" s="213" t="s">
        <v>529</v>
      </c>
      <c r="C26" s="17" t="s">
        <v>530</v>
      </c>
      <c r="D26" s="2">
        <f>+F22</f>
        <v>75000</v>
      </c>
      <c r="E26" s="23" t="s">
        <v>531</v>
      </c>
      <c r="F26" s="2">
        <f>+D26*7</f>
        <v>525000</v>
      </c>
    </row>
    <row r="27" spans="2:6" ht="15.6">
      <c r="B27" s="1"/>
      <c r="C27" s="17"/>
      <c r="D27" s="2"/>
      <c r="E27" s="1"/>
      <c r="F27" s="1"/>
    </row>
    <row r="28" spans="2:6" ht="15.6">
      <c r="B28" s="1"/>
      <c r="C28" s="17"/>
      <c r="D28" s="2"/>
      <c r="E28" s="1"/>
      <c r="F28" s="1"/>
    </row>
    <row r="29" spans="2:6" ht="15.6">
      <c r="B29" s="1" t="s">
        <v>509</v>
      </c>
      <c r="C29" s="17"/>
      <c r="D29" s="2"/>
      <c r="E29" s="1"/>
      <c r="F29" s="2">
        <v>75000</v>
      </c>
    </row>
    <row r="30" spans="2:6" ht="15.6">
      <c r="B30" s="65" t="s">
        <v>532</v>
      </c>
      <c r="C30" s="65"/>
      <c r="D30" s="65"/>
      <c r="E30" s="65"/>
      <c r="F30" s="2">
        <v>75000</v>
      </c>
    </row>
    <row r="31" spans="2:6" ht="15.6">
      <c r="B31" s="1" t="s">
        <v>533</v>
      </c>
      <c r="C31" s="65"/>
      <c r="D31" s="65"/>
      <c r="E31" s="65"/>
      <c r="F31" s="2">
        <v>75000</v>
      </c>
    </row>
    <row r="32" spans="2:6" ht="15.6">
      <c r="B32" s="449" t="s">
        <v>534</v>
      </c>
      <c r="C32" s="3"/>
      <c r="D32" s="3"/>
      <c r="E32" s="3"/>
      <c r="F32" s="2">
        <v>75000</v>
      </c>
    </row>
    <row r="33" spans="2:6" ht="15.6">
      <c r="B33" s="1" t="s">
        <v>535</v>
      </c>
      <c r="C33" s="3"/>
      <c r="D33" s="3"/>
      <c r="E33" s="3"/>
      <c r="F33" s="2">
        <v>75000</v>
      </c>
    </row>
    <row r="34" spans="2:6" ht="18">
      <c r="B34" s="3" t="s">
        <v>536</v>
      </c>
      <c r="C34" s="3"/>
      <c r="D34" s="3"/>
      <c r="E34" s="3"/>
      <c r="F34" s="204">
        <v>75000</v>
      </c>
    </row>
    <row r="35" spans="2:6" ht="15.6" hidden="1">
      <c r="B35" s="1" t="s">
        <v>515</v>
      </c>
      <c r="C35" s="65"/>
      <c r="D35" s="65"/>
      <c r="E35" s="65"/>
      <c r="F35" s="2"/>
    </row>
    <row r="36" spans="2:6" ht="15.6" hidden="1">
      <c r="B36" s="1" t="s">
        <v>537</v>
      </c>
      <c r="C36" s="65"/>
      <c r="D36" s="65"/>
      <c r="E36" s="65"/>
      <c r="F36" s="2"/>
    </row>
    <row r="37" spans="2:6" ht="15.6" hidden="1">
      <c r="B37" s="1" t="s">
        <v>538</v>
      </c>
      <c r="C37" s="65"/>
      <c r="D37" s="65"/>
      <c r="E37" s="65"/>
      <c r="F37" s="2"/>
    </row>
    <row r="38" spans="2:6" ht="15.6" hidden="1">
      <c r="B38" s="1" t="s">
        <v>539</v>
      </c>
      <c r="C38" s="65"/>
      <c r="D38" s="65"/>
      <c r="E38" s="65"/>
      <c r="F38" s="2"/>
    </row>
    <row r="39" spans="2:6" ht="15.6" hidden="1">
      <c r="B39" s="1" t="s">
        <v>540</v>
      </c>
      <c r="C39" s="65"/>
      <c r="D39" s="65"/>
      <c r="E39" s="65"/>
      <c r="F39" s="2"/>
    </row>
    <row r="40" spans="2:6" ht="15.6" hidden="1">
      <c r="B40" s="65" t="s">
        <v>541</v>
      </c>
      <c r="C40" s="1"/>
      <c r="D40" s="1"/>
      <c r="E40" s="1"/>
      <c r="F40" s="2"/>
    </row>
    <row r="41" spans="2:6" ht="16.2">
      <c r="B41" s="134" t="s">
        <v>126</v>
      </c>
      <c r="C41" s="65"/>
      <c r="D41" s="65"/>
      <c r="E41" s="65"/>
      <c r="F41" s="63">
        <f>SUM(F29:F40)+0</f>
        <v>450000</v>
      </c>
    </row>
    <row r="42" spans="2:6" ht="15.6">
      <c r="B42" s="65"/>
      <c r="C42" s="65"/>
      <c r="D42" s="65"/>
      <c r="E42" s="65"/>
      <c r="F42" s="53"/>
    </row>
    <row r="43" spans="2:6" ht="17.399999999999999">
      <c r="B43" s="134" t="s">
        <v>486</v>
      </c>
      <c r="C43" s="134"/>
      <c r="D43" s="134"/>
      <c r="E43" s="134"/>
      <c r="F43" s="376">
        <f>+F16-F41</f>
        <v>450000</v>
      </c>
    </row>
    <row r="44" spans="2:6" ht="15.6">
      <c r="B44" s="65"/>
      <c r="C44" s="65"/>
      <c r="D44" s="65"/>
      <c r="E44" s="65"/>
      <c r="F44" s="53"/>
    </row>
    <row r="47" spans="2:6">
      <c r="F47" s="155"/>
    </row>
  </sheetData>
  <mergeCells count="7">
    <mergeCell ref="B12:F12"/>
    <mergeCell ref="B5:F5"/>
    <mergeCell ref="B6:F6"/>
    <mergeCell ref="B7:F7"/>
    <mergeCell ref="B8:F8"/>
    <mergeCell ref="B10:F10"/>
    <mergeCell ref="B11:F11"/>
  </mergeCells>
  <pageMargins left="0.70866141732283472" right="0.70866141732283472" top="0.74803149606299213" bottom="0.74803149606299213" header="0.31496062992125984" footer="0.31496062992125984"/>
  <pageSetup scale="86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1FAAC-D7A2-489E-BF22-5E6D40370F14}">
  <sheetPr>
    <pageSetUpPr fitToPage="1"/>
  </sheetPr>
  <dimension ref="B5:F48"/>
  <sheetViews>
    <sheetView topLeftCell="A8" workbookViewId="0">
      <selection activeCell="D16" sqref="D16"/>
    </sheetView>
  </sheetViews>
  <sheetFormatPr baseColWidth="10" defaultColWidth="11.44140625" defaultRowHeight="13.8"/>
  <cols>
    <col min="1" max="1" width="2.5546875" style="130" customWidth="1"/>
    <col min="2" max="2" width="34.6640625" style="130" bestFit="1" customWidth="1"/>
    <col min="3" max="3" width="27.88671875" style="130" bestFit="1" customWidth="1"/>
    <col min="4" max="4" width="14.109375" style="130" bestFit="1" customWidth="1"/>
    <col min="5" max="5" width="12.109375" style="130" bestFit="1" customWidth="1"/>
    <col min="6" max="6" width="17" style="130" bestFit="1" customWidth="1"/>
    <col min="7" max="16384" width="11.44140625" style="130"/>
  </cols>
  <sheetData>
    <row r="5" spans="2:6" ht="18.600000000000001">
      <c r="B5" s="547" t="s">
        <v>431</v>
      </c>
      <c r="C5" s="547"/>
      <c r="D5" s="547"/>
      <c r="E5" s="547"/>
      <c r="F5" s="547"/>
    </row>
    <row r="6" spans="2:6" ht="18.600000000000001">
      <c r="B6" s="547" t="s">
        <v>284</v>
      </c>
      <c r="C6" s="547"/>
      <c r="D6" s="547"/>
      <c r="E6" s="547"/>
      <c r="F6" s="547"/>
    </row>
    <row r="7" spans="2:6" ht="16.2">
      <c r="B7" s="551" t="s">
        <v>437</v>
      </c>
      <c r="C7" s="551"/>
      <c r="D7" s="551"/>
      <c r="E7" s="551"/>
      <c r="F7" s="551"/>
    </row>
    <row r="8" spans="2:6" ht="16.2">
      <c r="B8" s="577">
        <v>45688</v>
      </c>
      <c r="C8" s="577"/>
      <c r="D8" s="577"/>
      <c r="E8" s="577"/>
      <c r="F8" s="577"/>
    </row>
    <row r="9" spans="2:6" ht="15.6">
      <c r="B9" s="1"/>
      <c r="C9" s="1"/>
      <c r="D9" s="1"/>
      <c r="E9" s="1"/>
      <c r="F9" s="1"/>
    </row>
    <row r="10" spans="2:6" ht="15.6">
      <c r="B10" s="578" t="s">
        <v>520</v>
      </c>
      <c r="C10" s="578"/>
      <c r="D10" s="578"/>
      <c r="E10" s="578"/>
      <c r="F10" s="578"/>
    </row>
    <row r="11" spans="2:6" ht="16.2">
      <c r="B11" s="552" t="s">
        <v>489</v>
      </c>
      <c r="C11" s="552"/>
      <c r="D11" s="552"/>
      <c r="E11" s="552"/>
      <c r="F11" s="552"/>
    </row>
    <row r="12" spans="2:6" ht="16.2">
      <c r="B12" s="579" t="s">
        <v>542</v>
      </c>
      <c r="C12" s="579"/>
      <c r="D12" s="579"/>
      <c r="E12" s="579"/>
      <c r="F12" s="579"/>
    </row>
    <row r="13" spans="2:6" ht="16.2" thickBot="1">
      <c r="B13" s="1"/>
      <c r="C13" s="1"/>
      <c r="D13" s="1"/>
      <c r="E13" s="1"/>
      <c r="F13" s="1"/>
    </row>
    <row r="14" spans="2:6" ht="16.8" thickBot="1">
      <c r="B14" s="187" t="s">
        <v>374</v>
      </c>
      <c r="C14" s="188"/>
      <c r="D14" s="188" t="s">
        <v>491</v>
      </c>
      <c r="E14" s="188"/>
      <c r="F14" s="189" t="s">
        <v>452</v>
      </c>
    </row>
    <row r="15" spans="2:6" ht="20.25" customHeight="1">
      <c r="B15" s="212" t="s">
        <v>542</v>
      </c>
      <c r="C15" s="191"/>
      <c r="D15" s="192" t="s">
        <v>493</v>
      </c>
      <c r="E15" s="191"/>
      <c r="F15" s="193">
        <v>1445000</v>
      </c>
    </row>
    <row r="16" spans="2:6" ht="18.600000000000001" thickBot="1">
      <c r="B16" s="194" t="s">
        <v>367</v>
      </c>
      <c r="C16" s="195"/>
      <c r="D16" s="195"/>
      <c r="E16" s="195"/>
      <c r="F16" s="196">
        <f>SUM(F15:F15)</f>
        <v>1445000</v>
      </c>
    </row>
    <row r="17" spans="2:6" ht="16.2" thickBot="1">
      <c r="B17" s="1"/>
      <c r="C17" s="1"/>
      <c r="D17" s="1"/>
      <c r="E17" s="1"/>
      <c r="F17" s="1"/>
    </row>
    <row r="18" spans="2:6" ht="16.8" thickBot="1">
      <c r="B18" s="187" t="s">
        <v>372</v>
      </c>
      <c r="C18" s="188" t="s">
        <v>494</v>
      </c>
      <c r="D18" s="188"/>
      <c r="E18" s="188" t="s">
        <v>495</v>
      </c>
      <c r="F18" s="189" t="s">
        <v>373</v>
      </c>
    </row>
    <row r="19" spans="2:6" ht="15.6">
      <c r="B19" s="197" t="s">
        <v>496</v>
      </c>
      <c r="C19" s="215" t="s">
        <v>543</v>
      </c>
      <c r="D19" s="216"/>
      <c r="E19" s="217">
        <v>45531</v>
      </c>
      <c r="F19" s="218">
        <f>+F16</f>
        <v>1445000</v>
      </c>
    </row>
    <row r="20" spans="2:6" ht="18.600000000000001" thickBot="1">
      <c r="B20" s="219"/>
      <c r="C20" s="220"/>
      <c r="D20" s="220"/>
      <c r="E20" s="221"/>
      <c r="F20" s="222"/>
    </row>
    <row r="21" spans="2:6" ht="15.6">
      <c r="B21" s="1"/>
      <c r="C21" s="1"/>
      <c r="D21" s="1"/>
      <c r="E21" s="1"/>
      <c r="F21" s="1"/>
    </row>
    <row r="22" spans="2:6" ht="16.2">
      <c r="B22" s="494" t="s">
        <v>468</v>
      </c>
      <c r="C22" s="494"/>
      <c r="D22" s="494"/>
      <c r="E22" s="494"/>
      <c r="F22" s="495">
        <f>+F19/12</f>
        <v>120416.66666666667</v>
      </c>
    </row>
    <row r="23" spans="2:6" ht="15.6">
      <c r="B23" s="1"/>
      <c r="C23" s="1"/>
      <c r="D23" s="1"/>
      <c r="E23" s="1"/>
      <c r="F23" s="2"/>
    </row>
    <row r="24" spans="2:6" ht="15.6">
      <c r="B24" s="213" t="s">
        <v>544</v>
      </c>
      <c r="C24" s="17" t="s">
        <v>527</v>
      </c>
      <c r="D24" s="2">
        <f>+F22</f>
        <v>120416.66666666667</v>
      </c>
      <c r="E24" s="23" t="s">
        <v>528</v>
      </c>
      <c r="F24" s="2">
        <f>+F22*5</f>
        <v>602083.33333333337</v>
      </c>
    </row>
    <row r="25" spans="2:6" ht="15.6">
      <c r="B25" s="17"/>
      <c r="C25" s="17"/>
      <c r="D25" s="2"/>
      <c r="E25" s="17"/>
      <c r="F25" s="2"/>
    </row>
    <row r="26" spans="2:6" ht="15.6">
      <c r="B26" s="213" t="s">
        <v>545</v>
      </c>
      <c r="C26" s="17" t="s">
        <v>530</v>
      </c>
      <c r="D26" s="2">
        <f>+F22</f>
        <v>120416.66666666667</v>
      </c>
      <c r="E26" s="23" t="s">
        <v>546</v>
      </c>
      <c r="F26" s="2">
        <f>+F19-F24</f>
        <v>842916.66666666663</v>
      </c>
    </row>
    <row r="27" spans="2:6" ht="15.6">
      <c r="B27" s="1"/>
      <c r="C27" s="17"/>
      <c r="D27" s="2"/>
      <c r="E27" s="1"/>
      <c r="F27" s="1"/>
    </row>
    <row r="28" spans="2:6" ht="15.6">
      <c r="B28" s="1"/>
      <c r="C28" s="17"/>
      <c r="D28" s="2"/>
      <c r="E28" s="1"/>
      <c r="F28" s="1"/>
    </row>
    <row r="29" spans="2:6" ht="15.6">
      <c r="B29" s="1" t="s">
        <v>547</v>
      </c>
      <c r="C29" s="17"/>
      <c r="D29" s="2"/>
      <c r="E29" s="1"/>
      <c r="F29" s="2">
        <f>+F19/12</f>
        <v>120416.66666666667</v>
      </c>
    </row>
    <row r="30" spans="2:6" ht="15.6">
      <c r="B30" s="1" t="s">
        <v>532</v>
      </c>
      <c r="C30" s="17"/>
      <c r="D30" s="2"/>
      <c r="E30" s="1"/>
      <c r="F30" s="2">
        <f>+F29</f>
        <v>120416.66666666667</v>
      </c>
    </row>
    <row r="31" spans="2:6" ht="15.6">
      <c r="B31" s="1" t="s">
        <v>533</v>
      </c>
      <c r="C31" s="65"/>
      <c r="D31" s="65"/>
      <c r="E31" s="65"/>
      <c r="F31" s="2">
        <f>+F29</f>
        <v>120416.66666666667</v>
      </c>
    </row>
    <row r="32" spans="2:6" ht="15.6">
      <c r="B32" s="1" t="s">
        <v>534</v>
      </c>
      <c r="C32" s="65"/>
      <c r="D32" s="65"/>
      <c r="E32" s="65"/>
      <c r="F32" s="2">
        <f>+F31</f>
        <v>120416.66666666667</v>
      </c>
    </row>
    <row r="33" spans="2:6" ht="15.6">
      <c r="B33" s="1" t="s">
        <v>535</v>
      </c>
      <c r="C33" s="3"/>
      <c r="D33" s="3"/>
      <c r="E33" s="3"/>
      <c r="F33" s="2">
        <f>+F32</f>
        <v>120416.66666666667</v>
      </c>
    </row>
    <row r="34" spans="2:6" ht="18">
      <c r="B34" s="3" t="s">
        <v>536</v>
      </c>
      <c r="C34" s="3"/>
      <c r="D34" s="3"/>
      <c r="E34" s="3"/>
      <c r="F34" s="204">
        <f>+F33</f>
        <v>120416.66666666667</v>
      </c>
    </row>
    <row r="35" spans="2:6" ht="15.6" hidden="1">
      <c r="B35" s="1" t="s">
        <v>515</v>
      </c>
      <c r="C35" s="3"/>
      <c r="D35" s="3"/>
      <c r="E35" s="3"/>
      <c r="F35" s="2"/>
    </row>
    <row r="36" spans="2:6" ht="15.6" hidden="1">
      <c r="B36" s="1" t="s">
        <v>537</v>
      </c>
      <c r="C36" s="65"/>
      <c r="D36" s="65"/>
      <c r="E36" s="65"/>
      <c r="F36" s="2"/>
    </row>
    <row r="37" spans="2:6" ht="15.6" hidden="1">
      <c r="B37" s="1" t="s">
        <v>538</v>
      </c>
      <c r="C37" s="65"/>
      <c r="D37" s="65"/>
      <c r="E37" s="65"/>
      <c r="F37" s="2"/>
    </row>
    <row r="38" spans="2:6" ht="15.6" hidden="1">
      <c r="B38" s="1" t="s">
        <v>539</v>
      </c>
      <c r="C38" s="65"/>
      <c r="D38" s="65"/>
      <c r="E38" s="65"/>
      <c r="F38" s="2"/>
    </row>
    <row r="39" spans="2:6" ht="15.6" hidden="1">
      <c r="B39" s="1" t="s">
        <v>540</v>
      </c>
      <c r="C39" s="65"/>
      <c r="D39" s="65"/>
      <c r="E39" s="65"/>
      <c r="F39" s="2"/>
    </row>
    <row r="40" spans="2:6" ht="15.6" hidden="1">
      <c r="B40" s="65" t="s">
        <v>541</v>
      </c>
      <c r="C40" s="65"/>
      <c r="D40" s="65"/>
      <c r="E40" s="65"/>
      <c r="F40" s="2"/>
    </row>
    <row r="41" spans="2:6" ht="15.6" hidden="1">
      <c r="B41" s="65" t="s">
        <v>548</v>
      </c>
      <c r="C41" s="1"/>
      <c r="D41" s="1"/>
      <c r="E41" s="1"/>
      <c r="F41" s="2"/>
    </row>
    <row r="42" spans="2:6" ht="16.2">
      <c r="B42" s="134" t="s">
        <v>126</v>
      </c>
      <c r="C42" s="65"/>
      <c r="D42" s="65"/>
      <c r="E42" s="65"/>
      <c r="F42" s="63">
        <f>SUM(F29:F41)+0</f>
        <v>722500</v>
      </c>
    </row>
    <row r="43" spans="2:6" ht="15.6">
      <c r="B43" s="65"/>
      <c r="C43" s="65"/>
      <c r="D43" s="65"/>
      <c r="E43" s="65"/>
      <c r="F43" s="53"/>
    </row>
    <row r="44" spans="2:6" ht="17.399999999999999">
      <c r="B44" s="134" t="s">
        <v>486</v>
      </c>
      <c r="C44" s="134"/>
      <c r="D44" s="134"/>
      <c r="E44" s="134"/>
      <c r="F44" s="376">
        <f>+F16-F42</f>
        <v>722500</v>
      </c>
    </row>
    <row r="45" spans="2:6" ht="15.6">
      <c r="B45" s="65"/>
      <c r="C45" s="65"/>
      <c r="D45" s="65"/>
      <c r="E45" s="65"/>
      <c r="F45" s="53"/>
    </row>
    <row r="48" spans="2:6">
      <c r="F48" s="155"/>
    </row>
  </sheetData>
  <mergeCells count="7">
    <mergeCell ref="B12:F12"/>
    <mergeCell ref="B5:F5"/>
    <mergeCell ref="B6:F6"/>
    <mergeCell ref="B7:F7"/>
    <mergeCell ref="B8:F8"/>
    <mergeCell ref="B10:F10"/>
    <mergeCell ref="B11:F11"/>
  </mergeCells>
  <pageMargins left="0.70866141732283472" right="0.70866141732283472" top="0.74803149606299213" bottom="0.74803149606299213" header="0.31496062992125984" footer="0.31496062992125984"/>
  <pageSetup scale="85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  <pageSetUpPr fitToPage="1"/>
  </sheetPr>
  <dimension ref="A1:L53"/>
  <sheetViews>
    <sheetView topLeftCell="A30" zoomScale="90" zoomScaleNormal="90" workbookViewId="0">
      <selection activeCell="C30" activeCellId="1" sqref="C30"/>
    </sheetView>
  </sheetViews>
  <sheetFormatPr baseColWidth="10" defaultColWidth="9.109375" defaultRowHeight="15.6"/>
  <cols>
    <col min="1" max="1" width="46.33203125" style="1" customWidth="1"/>
    <col min="2" max="2" width="10.44140625" style="1" customWidth="1"/>
    <col min="3" max="3" width="26" style="2" bestFit="1" customWidth="1"/>
    <col min="4" max="4" width="26.109375" style="2" customWidth="1"/>
    <col min="5" max="5" width="24.44140625" style="2" bestFit="1" customWidth="1"/>
    <col min="6" max="6" width="20.5546875" style="1" bestFit="1" customWidth="1"/>
    <col min="7" max="7" width="21.109375" style="1" customWidth="1"/>
    <col min="8" max="8" width="19.109375" style="1" bestFit="1" customWidth="1"/>
    <col min="9" max="16384" width="9.109375" style="1"/>
  </cols>
  <sheetData>
    <row r="1" spans="1:12" ht="24.75" customHeight="1">
      <c r="A1" s="29"/>
      <c r="B1" s="29"/>
      <c r="C1" s="30"/>
      <c r="D1" s="30"/>
      <c r="E1" s="30"/>
    </row>
    <row r="2" spans="1:12">
      <c r="A2" s="29"/>
      <c r="B2" s="29"/>
      <c r="C2" s="30"/>
      <c r="D2" s="30"/>
      <c r="E2" s="30"/>
    </row>
    <row r="3" spans="1:12">
      <c r="A3" s="29"/>
      <c r="B3" s="29"/>
      <c r="C3" s="30"/>
      <c r="D3" s="30"/>
      <c r="E3" s="30"/>
    </row>
    <row r="4" spans="1:12">
      <c r="A4" s="29"/>
      <c r="B4" s="29"/>
      <c r="C4" s="30"/>
      <c r="D4" s="30"/>
      <c r="E4" s="30"/>
    </row>
    <row r="5" spans="1:12">
      <c r="A5" s="29"/>
      <c r="B5" s="29"/>
      <c r="C5" s="30"/>
      <c r="D5" s="30"/>
      <c r="E5" s="30"/>
      <c r="F5" s="537"/>
    </row>
    <row r="6" spans="1:12" s="7" customFormat="1" ht="20.25" customHeight="1">
      <c r="A6" s="547" t="s">
        <v>1</v>
      </c>
      <c r="B6" s="547"/>
      <c r="C6" s="547"/>
      <c r="D6" s="547"/>
      <c r="E6" s="547"/>
      <c r="H6" s="31"/>
      <c r="I6" s="31"/>
      <c r="J6" s="31"/>
      <c r="K6" s="31"/>
      <c r="L6" s="31"/>
    </row>
    <row r="7" spans="1:12" s="7" customFormat="1" ht="17.399999999999999" customHeight="1">
      <c r="A7" s="548" t="s">
        <v>43</v>
      </c>
      <c r="B7" s="548"/>
      <c r="C7" s="548"/>
      <c r="D7" s="548"/>
      <c r="E7" s="548"/>
      <c r="F7" s="11"/>
      <c r="H7" s="32"/>
      <c r="I7" s="32"/>
      <c r="J7" s="32"/>
      <c r="K7" s="32"/>
      <c r="L7" s="32"/>
    </row>
    <row r="8" spans="1:12" s="7" customFormat="1" ht="17.399999999999999" customHeight="1">
      <c r="A8" s="549" t="s">
        <v>3</v>
      </c>
      <c r="B8" s="549"/>
      <c r="C8" s="549"/>
      <c r="D8" s="549"/>
      <c r="E8" s="549"/>
      <c r="F8" s="11"/>
      <c r="H8" s="33"/>
      <c r="I8" s="33"/>
      <c r="J8" s="33"/>
      <c r="K8" s="33"/>
      <c r="L8" s="33"/>
    </row>
    <row r="9" spans="1:12" s="7" customFormat="1" ht="17.399999999999999" customHeight="1">
      <c r="A9" s="550" t="s">
        <v>4</v>
      </c>
      <c r="B9" s="550"/>
      <c r="C9" s="550"/>
      <c r="D9" s="550"/>
      <c r="E9" s="550"/>
      <c r="F9" s="11"/>
    </row>
    <row r="10" spans="1:12" s="7" customFormat="1" ht="18">
      <c r="A10" s="9"/>
      <c r="B10" s="9"/>
      <c r="C10" s="9"/>
      <c r="D10" s="9"/>
      <c r="E10" s="9"/>
      <c r="F10" s="34"/>
    </row>
    <row r="11" spans="1:12" s="7" customFormat="1" ht="18">
      <c r="C11" s="35"/>
      <c r="D11" s="35"/>
      <c r="E11" s="35"/>
    </row>
    <row r="12" spans="1:12" s="12" customFormat="1" ht="38.4" customHeight="1">
      <c r="B12" s="36" t="s">
        <v>44</v>
      </c>
      <c r="C12" s="13" t="s">
        <v>45</v>
      </c>
      <c r="D12" s="13" t="s">
        <v>46</v>
      </c>
      <c r="E12" s="13" t="s">
        <v>8</v>
      </c>
    </row>
    <row r="13" spans="1:12" ht="20.25" customHeight="1">
      <c r="A13" s="15" t="s">
        <v>47</v>
      </c>
      <c r="B13" s="15"/>
      <c r="C13" s="37"/>
      <c r="D13" s="37"/>
      <c r="E13" s="37"/>
    </row>
    <row r="14" spans="1:12">
      <c r="A14" s="1" t="s">
        <v>48</v>
      </c>
      <c r="B14" s="17">
        <v>15</v>
      </c>
      <c r="C14" s="37">
        <f>+'A-RESULTADOS ANEXOS'!D16</f>
        <v>0</v>
      </c>
      <c r="D14" s="37">
        <f>+'A-RESULTADOS ANEXOS'!E16</f>
        <v>0</v>
      </c>
      <c r="E14" s="37">
        <f>C14-D14</f>
        <v>0</v>
      </c>
    </row>
    <row r="15" spans="1:12">
      <c r="A15" s="1" t="s">
        <v>49</v>
      </c>
      <c r="B15" s="17">
        <v>16</v>
      </c>
      <c r="C15" s="37">
        <f>+'A-RESULTADOS ANEXOS'!D22</f>
        <v>9783913.6899999995</v>
      </c>
      <c r="D15" s="37">
        <f>+'A-RESULTADOS ANEXOS'!E22</f>
        <v>0</v>
      </c>
      <c r="E15" s="37">
        <f>C15-D15</f>
        <v>9783913.6899999995</v>
      </c>
    </row>
    <row r="16" spans="1:12">
      <c r="A16" s="1" t="s">
        <v>50</v>
      </c>
      <c r="B16" s="17">
        <v>17</v>
      </c>
      <c r="C16" s="352">
        <f>+'A-RESULTADOS ANEXOS'!D28</f>
        <v>230805.06</v>
      </c>
      <c r="D16" s="352">
        <f>+'A-RESULTADOS ANEXOS'!E28</f>
        <v>0</v>
      </c>
      <c r="E16" s="37">
        <f>C16-D16</f>
        <v>230805.06</v>
      </c>
      <c r="F16" s="18"/>
    </row>
    <row r="17" spans="1:8" ht="16.2">
      <c r="A17" s="15" t="s">
        <v>51</v>
      </c>
      <c r="B17" s="47"/>
      <c r="C17" s="353">
        <f>SUM(C14:C16)</f>
        <v>10014718.75</v>
      </c>
      <c r="D17" s="353">
        <f>SUM(D14:D16)</f>
        <v>0</v>
      </c>
      <c r="E17" s="353">
        <f>SUM(E14:E16)</f>
        <v>10014718.75</v>
      </c>
      <c r="F17" s="18"/>
      <c r="G17" s="18"/>
    </row>
    <row r="18" spans="1:8">
      <c r="B18" s="17"/>
      <c r="C18" s="37"/>
      <c r="D18" s="37"/>
      <c r="E18" s="37"/>
    </row>
    <row r="19" spans="1:8">
      <c r="B19" s="17"/>
      <c r="C19" s="37"/>
      <c r="D19" s="37"/>
      <c r="E19" s="37"/>
    </row>
    <row r="20" spans="1:8" ht="16.2">
      <c r="A20" s="15" t="s">
        <v>52</v>
      </c>
      <c r="B20" s="47"/>
      <c r="C20" s="37"/>
      <c r="D20" s="37"/>
      <c r="E20" s="37"/>
    </row>
    <row r="21" spans="1:8">
      <c r="A21" s="1" t="s">
        <v>53</v>
      </c>
      <c r="B21" s="17">
        <v>18</v>
      </c>
      <c r="C21" s="37">
        <f>+'A-RESULTADOS ANEXOS'!D51</f>
        <v>17929742.550000001</v>
      </c>
      <c r="D21" s="37">
        <f>+'A-RESULTADOS ANEXOS'!E51</f>
        <v>0</v>
      </c>
      <c r="E21" s="37">
        <f>C21-D21</f>
        <v>17929742.550000001</v>
      </c>
      <c r="F21" s="354"/>
    </row>
    <row r="22" spans="1:8">
      <c r="A22" s="1" t="s">
        <v>54</v>
      </c>
      <c r="B22" s="17">
        <v>19</v>
      </c>
      <c r="C22" s="37">
        <f>+'A-RESULTADOS ANEXOS'!D89</f>
        <v>71019375.200000003</v>
      </c>
      <c r="D22" s="37">
        <f>+'A-RESULTADOS ANEXOS'!E89</f>
        <v>0</v>
      </c>
      <c r="E22" s="37">
        <f>C22-D22</f>
        <v>71019375.200000003</v>
      </c>
      <c r="F22" s="354"/>
    </row>
    <row r="23" spans="1:8">
      <c r="A23" s="1" t="s">
        <v>55</v>
      </c>
      <c r="B23" s="17">
        <v>20</v>
      </c>
      <c r="C23" s="37">
        <f>+'A-RESULTADOS ANEXOS'!D114</f>
        <v>1775512.3499999999</v>
      </c>
      <c r="D23" s="37">
        <f>+'A-RESULTADOS ANEXOS'!E114</f>
        <v>0</v>
      </c>
      <c r="E23" s="37">
        <f>C23-D23</f>
        <v>1775512.3499999999</v>
      </c>
      <c r="F23" s="354"/>
    </row>
    <row r="24" spans="1:8">
      <c r="A24" s="1" t="s">
        <v>56</v>
      </c>
      <c r="B24" s="17">
        <v>21</v>
      </c>
      <c r="C24" s="38">
        <f>+'A-RESULTADOS ANEXOS'!D131</f>
        <v>681935.88</v>
      </c>
      <c r="D24" s="38">
        <f>+'A-RESULTADOS ANEXOS'!E131</f>
        <v>0</v>
      </c>
      <c r="E24" s="37">
        <f>C24-D24</f>
        <v>681935.88</v>
      </c>
      <c r="F24" s="18"/>
    </row>
    <row r="25" spans="1:8" ht="16.2">
      <c r="A25" s="15" t="s">
        <v>57</v>
      </c>
      <c r="B25" s="47"/>
      <c r="C25" s="353">
        <f>SUM(C21:C24)</f>
        <v>91406565.979999989</v>
      </c>
      <c r="D25" s="353">
        <f>SUM(D21:D24)</f>
        <v>0</v>
      </c>
      <c r="E25" s="353">
        <f>SUM(E21:E24)</f>
        <v>91406565.979999989</v>
      </c>
      <c r="F25" s="18"/>
      <c r="G25" s="18"/>
    </row>
    <row r="26" spans="1:8">
      <c r="B26" s="17"/>
      <c r="C26" s="37"/>
      <c r="D26" s="37"/>
      <c r="E26" s="37"/>
      <c r="F26" s="18"/>
    </row>
    <row r="27" spans="1:8" ht="22.5" customHeight="1">
      <c r="A27" s="15" t="s">
        <v>58</v>
      </c>
      <c r="B27" s="47"/>
      <c r="C27" s="66">
        <f>+C17-C25</f>
        <v>-81391847.229999989</v>
      </c>
      <c r="D27" s="66">
        <f>+D17-D25</f>
        <v>0</v>
      </c>
      <c r="E27" s="66">
        <f>+E17-E25</f>
        <v>-81391847.229999989</v>
      </c>
      <c r="F27" s="49"/>
    </row>
    <row r="28" spans="1:8">
      <c r="B28" s="17"/>
      <c r="C28" s="37"/>
      <c r="D28" s="37"/>
      <c r="E28" s="37"/>
      <c r="F28" s="18"/>
    </row>
    <row r="29" spans="1:8" ht="18" customHeight="1">
      <c r="A29" s="15" t="s">
        <v>59</v>
      </c>
      <c r="B29" s="47"/>
      <c r="C29" s="38"/>
      <c r="D29" s="38"/>
      <c r="E29" s="38"/>
    </row>
    <row r="30" spans="1:8">
      <c r="A30" s="1" t="s">
        <v>60</v>
      </c>
      <c r="B30" s="17">
        <v>22</v>
      </c>
      <c r="C30" s="38">
        <f>+'A-RESULTADOS ANEXOS'!D135</f>
        <v>12700.58</v>
      </c>
      <c r="D30" s="38">
        <f>+'A-RESULTADOS ANEXOS'!E135</f>
        <v>0</v>
      </c>
      <c r="E30" s="38">
        <f>C30-D30</f>
        <v>12700.58</v>
      </c>
      <c r="H30" s="2"/>
    </row>
    <row r="31" spans="1:8">
      <c r="A31" s="1" t="s">
        <v>61</v>
      </c>
      <c r="B31" s="17"/>
      <c r="C31" s="38">
        <f>+'A-RESULTADOS ANEXOS'!D136</f>
        <v>0</v>
      </c>
      <c r="D31" s="38">
        <f>+'A-RESULTADOS ANEXOS'!E136</f>
        <v>0</v>
      </c>
      <c r="E31" s="38">
        <f>+C31-D31</f>
        <v>0</v>
      </c>
      <c r="F31" s="18"/>
      <c r="H31" s="2"/>
    </row>
    <row r="32" spans="1:8">
      <c r="A32" s="1" t="s">
        <v>62</v>
      </c>
      <c r="B32" s="17"/>
      <c r="C32" s="352">
        <f>+'A-RESULTADOS ANEXOS'!D137</f>
        <v>0</v>
      </c>
      <c r="D32" s="352">
        <f>+'A-RESULTADOS ANEXOS'!E137</f>
        <v>0</v>
      </c>
      <c r="E32" s="352">
        <f>+C32-D32</f>
        <v>0</v>
      </c>
      <c r="F32" s="18"/>
    </row>
    <row r="33" spans="1:5" ht="33.75" customHeight="1">
      <c r="A33" s="56" t="s">
        <v>63</v>
      </c>
      <c r="B33" s="47"/>
      <c r="C33" s="66">
        <f>SUM(C30:C32)</f>
        <v>12700.58</v>
      </c>
      <c r="D33" s="66">
        <f t="shared" ref="D33:E33" si="0">SUM(D30:D32)</f>
        <v>0</v>
      </c>
      <c r="E33" s="66">
        <f t="shared" si="0"/>
        <v>12700.58</v>
      </c>
    </row>
    <row r="34" spans="1:5">
      <c r="C34" s="37"/>
      <c r="D34" s="37"/>
      <c r="E34" s="37"/>
    </row>
    <row r="35" spans="1:5">
      <c r="C35" s="37"/>
      <c r="D35" s="37"/>
      <c r="E35" s="37"/>
    </row>
    <row r="36" spans="1:5">
      <c r="C36" s="37"/>
      <c r="D36" s="37"/>
      <c r="E36" s="37"/>
    </row>
    <row r="37" spans="1:5" ht="25.5" customHeight="1" thickBot="1">
      <c r="A37" s="15" t="s">
        <v>64</v>
      </c>
      <c r="B37" s="39"/>
      <c r="C37" s="21">
        <f>C27+C33</f>
        <v>-81379146.649999991</v>
      </c>
      <c r="D37" s="21">
        <f>D27+D33</f>
        <v>0</v>
      </c>
      <c r="E37" s="21">
        <f>E27+E33</f>
        <v>-81379146.649999991</v>
      </c>
    </row>
    <row r="38" spans="1:5" ht="16.2" thickTop="1">
      <c r="C38" s="40">
        <f>C27-C37+C33</f>
        <v>1.7880665836855769E-9</v>
      </c>
      <c r="D38" s="40">
        <f>D27-D37+D33</f>
        <v>0</v>
      </c>
      <c r="E38" s="40">
        <f>E27-E37+E33</f>
        <v>1.7880665836855769E-9</v>
      </c>
    </row>
    <row r="39" spans="1:5">
      <c r="C39" s="535"/>
      <c r="D39" s="16"/>
      <c r="E39" s="40"/>
    </row>
    <row r="40" spans="1:5">
      <c r="C40" s="536"/>
      <c r="D40" s="16"/>
      <c r="E40" s="40"/>
    </row>
    <row r="41" spans="1:5">
      <c r="A41" s="29"/>
      <c r="B41" s="29"/>
      <c r="C41" s="30"/>
      <c r="D41" s="30"/>
      <c r="E41" s="30"/>
    </row>
    <row r="42" spans="1:5">
      <c r="A42" s="41"/>
      <c r="B42" s="41"/>
      <c r="C42" s="30"/>
      <c r="D42" s="30"/>
      <c r="E42" s="30"/>
    </row>
    <row r="43" spans="1:5">
      <c r="A43" s="30"/>
      <c r="B43" s="30"/>
      <c r="C43" s="30"/>
      <c r="D43" s="30"/>
      <c r="E43" s="30"/>
    </row>
    <row r="44" spans="1:5">
      <c r="A44" s="30"/>
      <c r="B44" s="30"/>
      <c r="C44" s="30"/>
      <c r="D44" s="30"/>
      <c r="E44" s="30"/>
    </row>
    <row r="45" spans="1:5" s="15" customFormat="1" ht="16.2">
      <c r="A45" s="254" t="s">
        <v>65</v>
      </c>
      <c r="B45" s="255"/>
      <c r="C45" s="255"/>
      <c r="D45" s="556" t="s">
        <v>38</v>
      </c>
      <c r="E45" s="556"/>
    </row>
    <row r="46" spans="1:5">
      <c r="A46" s="42" t="str">
        <f>+'Estado Situación'!A57</f>
        <v>Encargado División de Contabilidad</v>
      </c>
      <c r="B46" s="30"/>
      <c r="C46" s="30"/>
      <c r="D46" s="557" t="s">
        <v>40</v>
      </c>
      <c r="E46" s="557"/>
    </row>
    <row r="47" spans="1:5" ht="32.25" customHeight="1">
      <c r="A47" s="41"/>
      <c r="B47" s="41"/>
      <c r="C47" s="30"/>
      <c r="D47" s="30"/>
      <c r="E47" s="30"/>
    </row>
    <row r="48" spans="1:5">
      <c r="A48" s="41"/>
      <c r="B48" s="41"/>
      <c r="C48" s="30"/>
      <c r="D48" s="30"/>
      <c r="E48" s="30"/>
    </row>
    <row r="49" spans="1:5">
      <c r="A49" s="29"/>
      <c r="B49" s="29"/>
      <c r="C49" s="30"/>
      <c r="D49" s="30"/>
      <c r="E49" s="30"/>
    </row>
    <row r="50" spans="1:5">
      <c r="A50" s="29"/>
      <c r="B50" s="29"/>
      <c r="C50" s="30"/>
      <c r="D50" s="30"/>
      <c r="E50" s="30"/>
    </row>
    <row r="51" spans="1:5" s="15" customFormat="1" ht="16.2">
      <c r="A51" s="554" t="s">
        <v>41</v>
      </c>
      <c r="B51" s="554"/>
      <c r="C51" s="554"/>
      <c r="D51" s="554"/>
      <c r="E51" s="554"/>
    </row>
    <row r="52" spans="1:5">
      <c r="A52" s="555" t="s">
        <v>42</v>
      </c>
      <c r="B52" s="555"/>
      <c r="C52" s="555"/>
      <c r="D52" s="555"/>
      <c r="E52" s="555"/>
    </row>
    <row r="53" spans="1:5">
      <c r="A53" s="29"/>
      <c r="B53" s="29"/>
      <c r="C53" s="30"/>
      <c r="D53" s="30"/>
      <c r="E53" s="30"/>
    </row>
  </sheetData>
  <mergeCells count="8">
    <mergeCell ref="A51:E51"/>
    <mergeCell ref="A52:E52"/>
    <mergeCell ref="A6:E6"/>
    <mergeCell ref="A7:E7"/>
    <mergeCell ref="A8:E8"/>
    <mergeCell ref="A9:E9"/>
    <mergeCell ref="D45:E45"/>
    <mergeCell ref="D46:E46"/>
  </mergeCells>
  <phoneticPr fontId="43" type="noConversion"/>
  <pageMargins left="0.82677165354330717" right="0.78740157480314965" top="0.43307086614173229" bottom="0.82677165354330717" header="0" footer="0"/>
  <pageSetup scale="67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1FF52-5988-4C72-9C49-0BCD245B7714}">
  <dimension ref="B5:I50"/>
  <sheetViews>
    <sheetView topLeftCell="A6" workbookViewId="0">
      <selection activeCell="D16" sqref="D16"/>
    </sheetView>
  </sheetViews>
  <sheetFormatPr baseColWidth="10" defaultColWidth="11.44140625" defaultRowHeight="13.8"/>
  <cols>
    <col min="1" max="1" width="2.5546875" style="130" customWidth="1"/>
    <col min="2" max="2" width="33" style="130" bestFit="1" customWidth="1"/>
    <col min="3" max="3" width="15.33203125" style="130" customWidth="1"/>
    <col min="4" max="4" width="14.6640625" style="130" customWidth="1"/>
    <col min="5" max="5" width="11.44140625" style="130"/>
    <col min="6" max="6" width="16" style="130" bestFit="1" customWidth="1"/>
    <col min="7" max="16384" width="11.44140625" style="130"/>
  </cols>
  <sheetData>
    <row r="5" spans="2:9" ht="18.600000000000001">
      <c r="B5" s="547" t="s">
        <v>431</v>
      </c>
      <c r="C5" s="547"/>
      <c r="D5" s="547"/>
      <c r="E5" s="547"/>
      <c r="F5" s="547"/>
    </row>
    <row r="6" spans="2:9" ht="18.600000000000001">
      <c r="B6" s="547" t="s">
        <v>284</v>
      </c>
      <c r="C6" s="547"/>
      <c r="D6" s="547"/>
      <c r="E6" s="547"/>
      <c r="F6" s="547"/>
    </row>
    <row r="7" spans="2:9" ht="16.2">
      <c r="B7" s="551" t="s">
        <v>549</v>
      </c>
      <c r="C7" s="551"/>
      <c r="D7" s="551"/>
      <c r="E7" s="551"/>
      <c r="F7" s="551"/>
    </row>
    <row r="8" spans="2:9" ht="16.2">
      <c r="B8" s="577">
        <v>45688</v>
      </c>
      <c r="C8" s="577"/>
      <c r="D8" s="577"/>
      <c r="E8" s="577"/>
      <c r="F8" s="577"/>
    </row>
    <row r="9" spans="2:9" ht="15.6">
      <c r="B9" s="1"/>
      <c r="C9" s="1"/>
      <c r="D9" s="1"/>
      <c r="E9" s="1"/>
      <c r="F9" s="1"/>
    </row>
    <row r="10" spans="2:9" ht="15.6">
      <c r="B10" s="552" t="s">
        <v>550</v>
      </c>
      <c r="C10" s="552"/>
      <c r="D10" s="552"/>
      <c r="E10" s="552"/>
      <c r="F10" s="552"/>
    </row>
    <row r="11" spans="2:9" ht="16.2">
      <c r="B11" s="552" t="s">
        <v>551</v>
      </c>
      <c r="C11" s="552"/>
      <c r="D11" s="552"/>
      <c r="E11" s="552"/>
      <c r="F11" s="552"/>
    </row>
    <row r="12" spans="2:9" ht="16.2">
      <c r="B12" s="551" t="s">
        <v>552</v>
      </c>
      <c r="C12" s="551"/>
      <c r="D12" s="551"/>
      <c r="E12" s="551"/>
      <c r="F12" s="551"/>
      <c r="I12" s="279"/>
    </row>
    <row r="13" spans="2:9" ht="16.2" thickBot="1">
      <c r="B13" s="1"/>
      <c r="C13" s="1"/>
      <c r="D13" s="1"/>
      <c r="E13" s="1"/>
      <c r="F13" s="1"/>
      <c r="I13" s="278"/>
    </row>
    <row r="14" spans="2:9" ht="16.8" thickBot="1">
      <c r="B14" s="187" t="s">
        <v>374</v>
      </c>
      <c r="C14" s="188" t="s">
        <v>494</v>
      </c>
      <c r="D14" s="188" t="s">
        <v>491</v>
      </c>
      <c r="E14" s="188"/>
      <c r="F14" s="189" t="s">
        <v>452</v>
      </c>
      <c r="I14" s="278"/>
    </row>
    <row r="15" spans="2:9" ht="18">
      <c r="B15" s="212" t="s">
        <v>553</v>
      </c>
      <c r="C15" s="223" t="s">
        <v>554</v>
      </c>
      <c r="D15" s="192" t="s">
        <v>493</v>
      </c>
      <c r="E15" s="191"/>
      <c r="F15" s="193">
        <v>329200.01</v>
      </c>
    </row>
    <row r="16" spans="2:9" ht="18.600000000000001" thickBot="1">
      <c r="B16" s="194" t="s">
        <v>367</v>
      </c>
      <c r="C16" s="195"/>
      <c r="D16" s="195"/>
      <c r="E16" s="195"/>
      <c r="F16" s="196">
        <f>SUM(F15:F15)</f>
        <v>329200.01</v>
      </c>
    </row>
    <row r="17" spans="2:6" ht="14.4" thickBot="1"/>
    <row r="18" spans="2:6" ht="16.8" thickBot="1">
      <c r="B18" s="187" t="s">
        <v>372</v>
      </c>
      <c r="C18" s="188" t="s">
        <v>494</v>
      </c>
      <c r="D18" s="188"/>
      <c r="E18" s="188" t="s">
        <v>495</v>
      </c>
      <c r="F18" s="189" t="s">
        <v>373</v>
      </c>
    </row>
    <row r="19" spans="2:6" ht="15.6">
      <c r="B19" s="197" t="s">
        <v>555</v>
      </c>
      <c r="C19" s="224" t="s">
        <v>556</v>
      </c>
      <c r="D19" s="191"/>
      <c r="E19" s="225" t="s">
        <v>557</v>
      </c>
      <c r="F19" s="199">
        <f>+F16</f>
        <v>329200.01</v>
      </c>
    </row>
    <row r="21" spans="2:6" ht="15.6">
      <c r="B21" s="183" t="s">
        <v>468</v>
      </c>
      <c r="C21" s="183"/>
      <c r="D21" s="183"/>
      <c r="E21" s="183"/>
      <c r="F21" s="184">
        <f>+F19/12</f>
        <v>27433.334166666667</v>
      </c>
    </row>
    <row r="22" spans="2:6" ht="15.6">
      <c r="B22" s="1"/>
      <c r="C22" s="1"/>
      <c r="D22" s="1"/>
      <c r="E22" s="1"/>
      <c r="F22" s="2"/>
    </row>
    <row r="23" spans="2:6" ht="15.6">
      <c r="B23" s="213" t="s">
        <v>558</v>
      </c>
      <c r="C23" s="17" t="s">
        <v>559</v>
      </c>
      <c r="D23" s="2">
        <f>+F21</f>
        <v>27433.334166666667</v>
      </c>
      <c r="E23" s="23" t="s">
        <v>560</v>
      </c>
      <c r="F23" s="2">
        <f>+F21*3</f>
        <v>82300.002500000002</v>
      </c>
    </row>
    <row r="24" spans="2:6" ht="15.6">
      <c r="B24" s="17"/>
      <c r="C24" s="17"/>
      <c r="D24" s="2"/>
      <c r="E24" s="17"/>
      <c r="F24" s="2"/>
    </row>
    <row r="25" spans="2:6" ht="15.6">
      <c r="B25" s="213" t="s">
        <v>561</v>
      </c>
      <c r="C25" s="17" t="s">
        <v>562</v>
      </c>
      <c r="D25" s="2">
        <f>+F21</f>
        <v>27433.334166666667</v>
      </c>
      <c r="E25" s="23" t="s">
        <v>563</v>
      </c>
      <c r="F25" s="2">
        <f>+F19-F23</f>
        <v>246900.00750000001</v>
      </c>
    </row>
    <row r="26" spans="2:6" ht="15.6">
      <c r="B26" s="1"/>
      <c r="C26" s="17"/>
      <c r="D26" s="2"/>
      <c r="E26" s="1"/>
      <c r="F26" s="1"/>
    </row>
    <row r="27" spans="2:6" ht="15.6">
      <c r="B27" s="1"/>
      <c r="C27" s="17"/>
      <c r="D27" s="2"/>
      <c r="E27" s="1"/>
      <c r="F27" s="1"/>
    </row>
    <row r="28" spans="2:6" ht="15.6">
      <c r="B28" s="1"/>
      <c r="C28" s="17"/>
      <c r="D28" s="2"/>
      <c r="E28" s="1"/>
      <c r="F28" s="1"/>
    </row>
    <row r="29" spans="2:6" ht="15.6">
      <c r="C29" s="65"/>
      <c r="D29" s="65"/>
      <c r="E29" s="65"/>
      <c r="F29" s="2"/>
    </row>
    <row r="30" spans="2:6" ht="15.6">
      <c r="B30" s="65" t="s">
        <v>564</v>
      </c>
      <c r="C30" s="65"/>
      <c r="D30" s="65"/>
      <c r="E30" s="65"/>
      <c r="F30" s="2">
        <f>+F21</f>
        <v>27433.334166666667</v>
      </c>
    </row>
    <row r="31" spans="2:6" ht="15.6">
      <c r="B31" s="1" t="s">
        <v>565</v>
      </c>
      <c r="C31" s="3"/>
      <c r="D31" s="3"/>
      <c r="E31" s="3"/>
      <c r="F31" s="2">
        <f t="shared" ref="F31:F40" si="0">+F30</f>
        <v>27433.334166666667</v>
      </c>
    </row>
    <row r="32" spans="2:6" ht="15.6">
      <c r="B32" s="1" t="s">
        <v>566</v>
      </c>
      <c r="C32" s="3"/>
      <c r="D32" s="3"/>
      <c r="E32" s="3"/>
      <c r="F32" s="2">
        <f t="shared" si="0"/>
        <v>27433.334166666667</v>
      </c>
    </row>
    <row r="33" spans="2:6" ht="15.6">
      <c r="B33" s="1" t="s">
        <v>567</v>
      </c>
      <c r="C33" s="3"/>
      <c r="D33" s="3"/>
      <c r="E33" s="3"/>
      <c r="F33" s="2">
        <f t="shared" si="0"/>
        <v>27433.334166666667</v>
      </c>
    </row>
    <row r="34" spans="2:6" ht="15.6">
      <c r="B34" s="1" t="s">
        <v>568</v>
      </c>
      <c r="C34" s="65"/>
      <c r="D34" s="65"/>
      <c r="E34" s="65"/>
      <c r="F34" s="2">
        <f t="shared" si="0"/>
        <v>27433.334166666667</v>
      </c>
    </row>
    <row r="35" spans="2:6" ht="15.6">
      <c r="B35" s="1" t="s">
        <v>569</v>
      </c>
      <c r="C35" s="65"/>
      <c r="D35" s="65"/>
      <c r="E35" s="65"/>
      <c r="F35" s="2">
        <f t="shared" si="0"/>
        <v>27433.334166666667</v>
      </c>
    </row>
    <row r="36" spans="2:6" ht="15.6">
      <c r="B36" s="1" t="s">
        <v>570</v>
      </c>
      <c r="C36" s="65"/>
      <c r="D36" s="65"/>
      <c r="E36" s="65"/>
      <c r="F36" s="2">
        <f t="shared" si="0"/>
        <v>27433.334166666667</v>
      </c>
    </row>
    <row r="37" spans="2:6" ht="15.6">
      <c r="B37" s="1" t="s">
        <v>571</v>
      </c>
      <c r="C37" s="65"/>
      <c r="D37" s="65"/>
      <c r="E37" s="65"/>
      <c r="F37" s="2">
        <f t="shared" si="0"/>
        <v>27433.334166666667</v>
      </c>
    </row>
    <row r="38" spans="2:6" ht="15.6">
      <c r="B38" s="1" t="s">
        <v>572</v>
      </c>
      <c r="C38" s="65"/>
      <c r="D38" s="65"/>
      <c r="E38" s="65"/>
      <c r="F38" s="2">
        <f t="shared" si="0"/>
        <v>27433.334166666667</v>
      </c>
    </row>
    <row r="39" spans="2:6" ht="15.6">
      <c r="B39" s="1" t="s">
        <v>573</v>
      </c>
      <c r="C39" s="1"/>
      <c r="D39" s="1"/>
      <c r="E39" s="1"/>
      <c r="F39" s="2">
        <f t="shared" si="0"/>
        <v>27433.334166666667</v>
      </c>
    </row>
    <row r="40" spans="2:6" ht="15.6">
      <c r="B40" s="1" t="s">
        <v>509</v>
      </c>
      <c r="C40" s="65"/>
      <c r="D40" s="65"/>
      <c r="E40" s="65"/>
      <c r="F40" s="2">
        <f t="shared" si="0"/>
        <v>27433.334166666667</v>
      </c>
    </row>
    <row r="41" spans="2:6" ht="18">
      <c r="B41" s="1" t="s">
        <v>532</v>
      </c>
      <c r="C41" s="65"/>
      <c r="D41" s="65"/>
      <c r="E41" s="65"/>
      <c r="F41" s="98">
        <f>+F40+0</f>
        <v>27433.334166666667</v>
      </c>
    </row>
    <row r="42" spans="2:6" ht="24" customHeight="1">
      <c r="B42" s="134" t="s">
        <v>126</v>
      </c>
      <c r="C42" s="65"/>
      <c r="D42" s="65"/>
      <c r="E42" s="65"/>
      <c r="F42" s="63">
        <f>SUM(F29:F41)-0</f>
        <v>329200.01</v>
      </c>
    </row>
    <row r="43" spans="2:6" ht="29.25" customHeight="1" thickBot="1">
      <c r="B43" s="46" t="s">
        <v>574</v>
      </c>
      <c r="F43" s="226">
        <f>+F16-F42</f>
        <v>0</v>
      </c>
    </row>
    <row r="44" spans="2:6" ht="14.4" thickTop="1"/>
    <row r="47" spans="2:6">
      <c r="F47" s="155"/>
    </row>
    <row r="48" spans="2:6">
      <c r="F48" s="155"/>
    </row>
    <row r="49" spans="6:6">
      <c r="F49" s="155"/>
    </row>
    <row r="50" spans="6:6">
      <c r="F50" s="155"/>
    </row>
  </sheetData>
  <mergeCells count="7">
    <mergeCell ref="B12:F12"/>
    <mergeCell ref="B5:F5"/>
    <mergeCell ref="B6:F6"/>
    <mergeCell ref="B7:F7"/>
    <mergeCell ref="B8:F8"/>
    <mergeCell ref="B10:F10"/>
    <mergeCell ref="B11:F11"/>
  </mergeCells>
  <pageMargins left="0.51181102362204722" right="0.51181102362204722" top="0.74803149606299213" bottom="0.74803149606299213" header="0.31496062992125984" footer="0.31496062992125984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3:O13"/>
  <sheetViews>
    <sheetView workbookViewId="0">
      <selection activeCell="D16" sqref="D16"/>
    </sheetView>
  </sheetViews>
  <sheetFormatPr baseColWidth="10" defaultColWidth="11.5546875" defaultRowHeight="24.75" customHeight="1"/>
  <cols>
    <col min="1" max="1" width="42.5546875" style="1" customWidth="1"/>
    <col min="2" max="2" width="21.6640625" style="1" customWidth="1"/>
    <col min="3" max="4" width="11.5546875" style="1"/>
    <col min="5" max="5" width="19.109375" style="1" customWidth="1"/>
    <col min="6" max="14" width="11.5546875" style="1"/>
    <col min="15" max="15" width="16.88671875" style="1" bestFit="1" customWidth="1"/>
    <col min="16" max="16384" width="11.5546875" style="1"/>
  </cols>
  <sheetData>
    <row r="3" spans="1:15" ht="24.75" customHeight="1">
      <c r="A3" s="551" t="s">
        <v>575</v>
      </c>
      <c r="B3" s="551"/>
    </row>
    <row r="4" spans="1:15" ht="24.75" customHeight="1">
      <c r="A4" s="551" t="s">
        <v>284</v>
      </c>
      <c r="B4" s="551"/>
    </row>
    <row r="5" spans="1:15" ht="24.75" customHeight="1">
      <c r="A5" s="551" t="s">
        <v>576</v>
      </c>
      <c r="B5" s="551"/>
    </row>
    <row r="6" spans="1:15" ht="24.75" customHeight="1">
      <c r="A6" s="563">
        <v>45688</v>
      </c>
      <c r="B6" s="563"/>
    </row>
    <row r="7" spans="1:15" ht="24.75" customHeight="1" thickBot="1">
      <c r="A7" s="67"/>
      <c r="B7" s="67"/>
    </row>
    <row r="8" spans="1:15" ht="24.75" customHeight="1" thickBot="1">
      <c r="A8" s="70" t="s">
        <v>577</v>
      </c>
      <c r="B8" s="72" t="s">
        <v>287</v>
      </c>
    </row>
    <row r="9" spans="1:15" ht="24.75" hidden="1" customHeight="1">
      <c r="A9" s="73" t="s">
        <v>578</v>
      </c>
      <c r="B9" s="77">
        <v>0</v>
      </c>
    </row>
    <row r="10" spans="1:15" ht="24.75" customHeight="1">
      <c r="A10" s="75" t="s">
        <v>579</v>
      </c>
      <c r="B10" s="77">
        <v>676148765</v>
      </c>
    </row>
    <row r="11" spans="1:15" ht="24.75" hidden="1" customHeight="1">
      <c r="A11" s="75" t="s">
        <v>580</v>
      </c>
      <c r="B11" s="79">
        <v>0</v>
      </c>
      <c r="O11" s="2"/>
    </row>
    <row r="12" spans="1:15" ht="24.75" customHeight="1">
      <c r="A12" s="75"/>
      <c r="B12" s="82">
        <f>SUM(B9:B11)</f>
        <v>676148765</v>
      </c>
    </row>
    <row r="13" spans="1:15" ht="24.75" customHeight="1" thickBot="1">
      <c r="A13" s="83"/>
      <c r="B13" s="85"/>
    </row>
  </sheetData>
  <mergeCells count="4">
    <mergeCell ref="A4:B4"/>
    <mergeCell ref="A3:B3"/>
    <mergeCell ref="A5:B5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8E765-175B-49EE-B8AA-77A40EDFAE4C}">
  <sheetPr>
    <pageSetUpPr fitToPage="1"/>
  </sheetPr>
  <dimension ref="B8:I55"/>
  <sheetViews>
    <sheetView topLeftCell="A4" zoomScaleNormal="100" workbookViewId="0">
      <selection activeCell="D16" sqref="D16"/>
    </sheetView>
  </sheetViews>
  <sheetFormatPr baseColWidth="10" defaultColWidth="11.44140625" defaultRowHeight="13.8"/>
  <cols>
    <col min="1" max="1" width="11.44140625" style="130"/>
    <col min="2" max="2" width="42.109375" style="130" customWidth="1"/>
    <col min="3" max="3" width="24.44140625" style="130" bestFit="1" customWidth="1"/>
    <col min="4" max="4" width="11.44140625" style="130"/>
    <col min="5" max="5" width="10.88671875" style="130" customWidth="1"/>
    <col min="6" max="6" width="15" style="130" bestFit="1" customWidth="1"/>
    <col min="7" max="7" width="14.44140625" style="130" customWidth="1"/>
    <col min="8" max="8" width="20.88671875" style="130" bestFit="1" customWidth="1"/>
    <col min="9" max="16384" width="11.44140625" style="130"/>
  </cols>
  <sheetData>
    <row r="8" spans="2:9" ht="20.25" customHeight="1">
      <c r="B8" s="551" t="s">
        <v>581</v>
      </c>
      <c r="C8" s="551"/>
    </row>
    <row r="9" spans="2:9" ht="20.25" customHeight="1">
      <c r="B9" s="551" t="s">
        <v>284</v>
      </c>
      <c r="C9" s="551"/>
    </row>
    <row r="10" spans="2:9" ht="20.25" customHeight="1">
      <c r="B10" s="551" t="s">
        <v>582</v>
      </c>
      <c r="C10" s="551"/>
    </row>
    <row r="11" spans="2:9" ht="20.25" customHeight="1">
      <c r="B11" s="563">
        <v>45688</v>
      </c>
      <c r="C11" s="563"/>
      <c r="F11" s="584" t="s">
        <v>583</v>
      </c>
      <c r="G11" s="584"/>
      <c r="H11" s="584"/>
      <c r="I11" s="378"/>
    </row>
    <row r="12" spans="2:9" ht="16.2" thickBot="1">
      <c r="B12" s="1"/>
      <c r="C12" s="1"/>
    </row>
    <row r="13" spans="2:9" ht="29.25" customHeight="1" thickBot="1">
      <c r="B13" s="70" t="s">
        <v>268</v>
      </c>
      <c r="C13" s="72" t="s">
        <v>287</v>
      </c>
      <c r="E13" s="379"/>
      <c r="F13" s="395" t="s">
        <v>584</v>
      </c>
      <c r="G13" s="396" t="s">
        <v>370</v>
      </c>
      <c r="H13" s="397" t="s">
        <v>585</v>
      </c>
    </row>
    <row r="14" spans="2:9" ht="24.75" customHeight="1">
      <c r="B14" s="59" t="s">
        <v>116</v>
      </c>
      <c r="C14" s="113">
        <f>+H19+H33</f>
        <v>383156800</v>
      </c>
      <c r="F14" s="582" t="s">
        <v>586</v>
      </c>
      <c r="G14" s="583"/>
      <c r="H14" s="394"/>
    </row>
    <row r="15" spans="2:9" ht="27" customHeight="1">
      <c r="B15" s="59" t="s">
        <v>117</v>
      </c>
      <c r="C15" s="113">
        <v>296750000</v>
      </c>
      <c r="F15" s="380">
        <v>39310</v>
      </c>
      <c r="G15" s="381">
        <v>45183</v>
      </c>
      <c r="H15" s="382">
        <v>70000000</v>
      </c>
    </row>
    <row r="16" spans="2:9" ht="29.25" customHeight="1">
      <c r="B16" s="59" t="s">
        <v>118</v>
      </c>
      <c r="C16" s="242">
        <f>+H49</f>
        <v>1066750000</v>
      </c>
      <c r="F16" s="383">
        <v>39363</v>
      </c>
      <c r="G16" s="384">
        <v>45216</v>
      </c>
      <c r="H16" s="385">
        <v>20000000</v>
      </c>
    </row>
    <row r="17" spans="2:8" ht="23.25" customHeight="1">
      <c r="B17" s="243" t="s">
        <v>587</v>
      </c>
      <c r="C17" s="90">
        <f>SUM(C14:C16)</f>
        <v>1746656800</v>
      </c>
      <c r="F17" s="383">
        <v>39410</v>
      </c>
      <c r="G17" s="384">
        <v>45239</v>
      </c>
      <c r="H17" s="385">
        <v>40000000</v>
      </c>
    </row>
    <row r="18" spans="2:8" ht="23.25" customHeight="1">
      <c r="B18" s="115"/>
      <c r="C18" s="115"/>
      <c r="F18" s="383">
        <v>39476</v>
      </c>
      <c r="G18" s="384">
        <v>45278</v>
      </c>
      <c r="H18" s="386">
        <v>21156800</v>
      </c>
    </row>
    <row r="19" spans="2:8" ht="14.4">
      <c r="F19" s="383"/>
      <c r="G19" s="383"/>
      <c r="H19" s="387">
        <v>151156800</v>
      </c>
    </row>
    <row r="20" spans="2:8" ht="14.4">
      <c r="B20" s="521" t="s">
        <v>588</v>
      </c>
      <c r="F20" s="383"/>
      <c r="G20" s="383"/>
      <c r="H20" s="389"/>
    </row>
    <row r="21" spans="2:8" ht="14.4">
      <c r="C21" s="155"/>
      <c r="F21" s="383">
        <v>39477</v>
      </c>
      <c r="G21" s="384">
        <v>45279</v>
      </c>
      <c r="H21" s="385">
        <v>40000000</v>
      </c>
    </row>
    <row r="22" spans="2:8" ht="14.4">
      <c r="C22" s="155"/>
      <c r="F22" s="383">
        <v>39515</v>
      </c>
      <c r="G22" s="384">
        <v>45303</v>
      </c>
      <c r="H22" s="385">
        <v>20000000</v>
      </c>
    </row>
    <row r="23" spans="2:8" ht="14.4">
      <c r="C23" s="155"/>
      <c r="F23" s="383">
        <v>39567</v>
      </c>
      <c r="G23" s="384">
        <v>45335</v>
      </c>
      <c r="H23" s="385">
        <v>20000000</v>
      </c>
    </row>
    <row r="24" spans="2:8" ht="14.4">
      <c r="C24" s="155"/>
      <c r="F24" s="383">
        <v>39616</v>
      </c>
      <c r="G24" s="384">
        <v>45365</v>
      </c>
      <c r="H24" s="385">
        <v>20000000</v>
      </c>
    </row>
    <row r="25" spans="2:8" ht="14.4">
      <c r="C25" s="155"/>
      <c r="F25" s="383">
        <v>39651</v>
      </c>
      <c r="G25" s="384">
        <v>45386</v>
      </c>
      <c r="H25" s="385">
        <v>20000000</v>
      </c>
    </row>
    <row r="26" spans="2:8" ht="14.4">
      <c r="F26" s="383">
        <v>39713</v>
      </c>
      <c r="G26" s="384">
        <v>45422</v>
      </c>
      <c r="H26" s="385">
        <v>20000000</v>
      </c>
    </row>
    <row r="27" spans="2:8" ht="14.4">
      <c r="F27" s="383">
        <v>39749</v>
      </c>
      <c r="G27" s="384">
        <v>45460</v>
      </c>
      <c r="H27" s="385">
        <v>20000000</v>
      </c>
    </row>
    <row r="28" spans="2:8" ht="14.4">
      <c r="F28" s="383">
        <v>39848</v>
      </c>
      <c r="G28" s="384">
        <v>45561</v>
      </c>
      <c r="H28" s="385">
        <v>24000000</v>
      </c>
    </row>
    <row r="29" spans="2:8" ht="14.4">
      <c r="F29" s="383">
        <v>39885</v>
      </c>
      <c r="G29" s="384">
        <v>45576</v>
      </c>
      <c r="H29" s="385">
        <v>8000000</v>
      </c>
    </row>
    <row r="30" spans="2:8" ht="14.4">
      <c r="F30" s="383">
        <v>39926</v>
      </c>
      <c r="G30" s="384">
        <v>45608</v>
      </c>
      <c r="H30" s="385">
        <v>8000000</v>
      </c>
    </row>
    <row r="31" spans="2:8" ht="14.4">
      <c r="F31" s="383">
        <v>39936</v>
      </c>
      <c r="G31" s="384">
        <v>45623</v>
      </c>
      <c r="H31" s="385">
        <v>12000000</v>
      </c>
    </row>
    <row r="32" spans="2:8" ht="14.4">
      <c r="F32" s="383">
        <v>39941</v>
      </c>
      <c r="G32" s="384">
        <v>45623</v>
      </c>
      <c r="H32" s="386">
        <v>20000000</v>
      </c>
    </row>
    <row r="33" spans="6:8" ht="14.4">
      <c r="F33" s="383"/>
      <c r="G33" s="384"/>
      <c r="H33" s="390">
        <f>SUM(H21:H32)</f>
        <v>232000000</v>
      </c>
    </row>
    <row r="34" spans="6:8" ht="14.4">
      <c r="F34" s="391"/>
      <c r="G34" s="392"/>
      <c r="H34" s="390"/>
    </row>
    <row r="35" spans="6:8" ht="14.4">
      <c r="F35" s="580" t="s">
        <v>589</v>
      </c>
      <c r="G35" s="581"/>
      <c r="H35" s="390">
        <f>+H19+H33</f>
        <v>383156800</v>
      </c>
    </row>
    <row r="36" spans="6:8" ht="14.4">
      <c r="F36" s="391"/>
      <c r="G36" s="392"/>
      <c r="H36" s="390"/>
    </row>
    <row r="37" spans="6:8" ht="14.4">
      <c r="F37" s="580" t="s">
        <v>117</v>
      </c>
      <c r="G37" s="581"/>
      <c r="H37" s="386"/>
    </row>
    <row r="38" spans="6:8" ht="14.4">
      <c r="F38" s="383" t="s">
        <v>590</v>
      </c>
      <c r="G38" s="384">
        <v>45426</v>
      </c>
      <c r="H38" s="390">
        <v>296750000</v>
      </c>
    </row>
    <row r="39" spans="6:8" ht="14.4">
      <c r="F39" s="383"/>
      <c r="G39" s="383"/>
      <c r="H39" s="390"/>
    </row>
    <row r="40" spans="6:8" ht="14.4">
      <c r="F40" s="580" t="s">
        <v>118</v>
      </c>
      <c r="G40" s="581"/>
      <c r="H40" s="386"/>
    </row>
    <row r="41" spans="6:8" ht="14.4">
      <c r="F41" s="383" t="s">
        <v>591</v>
      </c>
      <c r="G41" s="384">
        <v>45426</v>
      </c>
      <c r="H41" s="393">
        <v>296750000</v>
      </c>
    </row>
    <row r="42" spans="6:8" ht="14.4">
      <c r="F42" s="383">
        <v>39804</v>
      </c>
      <c r="G42" s="384">
        <v>45490</v>
      </c>
      <c r="H42" s="393">
        <v>110000000</v>
      </c>
    </row>
    <row r="43" spans="6:8" ht="14.4">
      <c r="F43" s="383">
        <v>39831</v>
      </c>
      <c r="G43" s="384">
        <v>45512</v>
      </c>
      <c r="H43" s="393">
        <v>110000000</v>
      </c>
    </row>
    <row r="44" spans="6:8" ht="14.4">
      <c r="F44" s="383">
        <v>39831</v>
      </c>
      <c r="G44" s="384">
        <v>45516</v>
      </c>
      <c r="H44" s="393">
        <v>110000000</v>
      </c>
    </row>
    <row r="45" spans="6:8" ht="14.4">
      <c r="F45" s="410">
        <v>39851</v>
      </c>
      <c r="G45" s="392">
        <v>45545</v>
      </c>
      <c r="H45" s="393">
        <v>110000000</v>
      </c>
    </row>
    <row r="46" spans="6:8" ht="14.4">
      <c r="F46" s="383">
        <v>39889</v>
      </c>
      <c r="G46" s="384">
        <v>45576</v>
      </c>
      <c r="H46" s="390">
        <v>110000000</v>
      </c>
    </row>
    <row r="47" spans="6:8" ht="14.4">
      <c r="F47" s="410">
        <v>39922</v>
      </c>
      <c r="G47" s="392">
        <v>45614</v>
      </c>
      <c r="H47" s="390">
        <v>110000000</v>
      </c>
    </row>
    <row r="48" spans="6:8" ht="14.4">
      <c r="F48" s="410">
        <v>39945</v>
      </c>
      <c r="G48" s="392">
        <v>45630</v>
      </c>
      <c r="H48" s="390">
        <v>110000000</v>
      </c>
    </row>
    <row r="49" spans="6:8" ht="14.4">
      <c r="F49" s="580" t="s">
        <v>592</v>
      </c>
      <c r="G49" s="581"/>
      <c r="H49" s="390">
        <f>SUM(H41:H48)</f>
        <v>1066750000</v>
      </c>
    </row>
    <row r="50" spans="6:8" ht="14.4">
      <c r="F50" s="389"/>
      <c r="G50" s="383"/>
      <c r="H50" s="389"/>
    </row>
    <row r="51" spans="6:8" ht="21.75" customHeight="1">
      <c r="F51" s="398" t="s">
        <v>593</v>
      </c>
      <c r="G51" s="398"/>
      <c r="H51" s="446">
        <f>+H19+H33+H38+H49</f>
        <v>1746656800</v>
      </c>
    </row>
    <row r="53" spans="6:8">
      <c r="H53" s="388"/>
    </row>
    <row r="54" spans="6:8">
      <c r="H54" s="388"/>
    </row>
    <row r="55" spans="6:8">
      <c r="H55" s="388"/>
    </row>
  </sheetData>
  <mergeCells count="10">
    <mergeCell ref="F49:G49"/>
    <mergeCell ref="F37:G37"/>
    <mergeCell ref="F40:G40"/>
    <mergeCell ref="F14:G14"/>
    <mergeCell ref="B8:C8"/>
    <mergeCell ref="B10:C10"/>
    <mergeCell ref="B11:C11"/>
    <mergeCell ref="B9:C9"/>
    <mergeCell ref="F11:H11"/>
    <mergeCell ref="F35:G35"/>
  </mergeCells>
  <pageMargins left="0.31496062992125984" right="0.31496062992125984" top="0.74803149606299213" bottom="0.74803149606299213" header="0.31496062992125984" footer="0.31496062992125984"/>
  <pageSetup scale="98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E4D21-3DBC-44D8-BAA4-C261AEC889CD}">
  <dimension ref="A1:F51"/>
  <sheetViews>
    <sheetView topLeftCell="A3" workbookViewId="0">
      <selection activeCell="D16" sqref="D16"/>
    </sheetView>
  </sheetViews>
  <sheetFormatPr baseColWidth="10" defaultColWidth="11.44140625" defaultRowHeight="13.2"/>
  <cols>
    <col min="4" max="4" width="16.109375" bestFit="1" customWidth="1"/>
    <col min="5" max="5" width="15.33203125" customWidth="1"/>
  </cols>
  <sheetData>
    <row r="1" spans="1:6" ht="15.6">
      <c r="A1" s="368" t="s">
        <v>594</v>
      </c>
      <c r="B1" s="368"/>
      <c r="C1" s="363"/>
      <c r="E1" s="363" t="s">
        <v>595</v>
      </c>
      <c r="F1" s="364"/>
    </row>
    <row r="3" spans="1:6" ht="14.4">
      <c r="A3" s="363" t="s">
        <v>596</v>
      </c>
      <c r="B3" s="363"/>
      <c r="C3" s="365">
        <v>45200</v>
      </c>
      <c r="D3" s="363" t="s">
        <v>597</v>
      </c>
      <c r="E3" s="365">
        <v>45488</v>
      </c>
    </row>
    <row r="4" spans="1:6" ht="14.4">
      <c r="A4" s="363" t="s">
        <v>314</v>
      </c>
      <c r="B4" s="363"/>
      <c r="C4" s="363">
        <v>0</v>
      </c>
      <c r="D4" s="363" t="s">
        <v>598</v>
      </c>
      <c r="E4" s="363">
        <v>0</v>
      </c>
    </row>
    <row r="5" spans="1:6" ht="14.4">
      <c r="A5" s="375" t="s">
        <v>599</v>
      </c>
      <c r="B5" s="363"/>
      <c r="C5" s="363"/>
      <c r="D5" s="363"/>
      <c r="E5" s="363"/>
    </row>
    <row r="7" spans="1:6" ht="14.4">
      <c r="A7" s="377" t="s">
        <v>600</v>
      </c>
      <c r="B7" s="377" t="s">
        <v>370</v>
      </c>
      <c r="C7" s="377" t="s">
        <v>601</v>
      </c>
      <c r="D7" s="377" t="s">
        <v>602</v>
      </c>
      <c r="E7" s="377" t="s">
        <v>603</v>
      </c>
    </row>
    <row r="8" spans="1:6" ht="14.4">
      <c r="A8" s="363" t="s">
        <v>604</v>
      </c>
      <c r="B8" s="365">
        <v>45183</v>
      </c>
      <c r="C8" s="363">
        <v>39310</v>
      </c>
      <c r="D8" s="363">
        <v>0</v>
      </c>
      <c r="E8" s="366">
        <v>70000000</v>
      </c>
    </row>
    <row r="9" spans="1:6" ht="14.4">
      <c r="A9" s="363" t="s">
        <v>604</v>
      </c>
      <c r="B9" s="365">
        <v>45216</v>
      </c>
      <c r="C9" s="363">
        <v>39363</v>
      </c>
      <c r="D9" s="363">
        <v>0</v>
      </c>
      <c r="E9" s="366">
        <v>20000000</v>
      </c>
    </row>
    <row r="10" spans="1:6" ht="14.4">
      <c r="A10" s="363" t="s">
        <v>604</v>
      </c>
      <c r="B10" s="365">
        <v>45239</v>
      </c>
      <c r="C10" s="363">
        <v>39410</v>
      </c>
      <c r="D10" s="363">
        <v>0</v>
      </c>
      <c r="E10" s="366">
        <v>40000000</v>
      </c>
    </row>
    <row r="11" spans="1:6" ht="14.4">
      <c r="A11" s="363" t="s">
        <v>604</v>
      </c>
      <c r="B11" s="365">
        <v>45278</v>
      </c>
      <c r="C11" s="363">
        <v>39476</v>
      </c>
      <c r="D11" s="363">
        <v>0</v>
      </c>
      <c r="E11" s="366">
        <v>21156800</v>
      </c>
    </row>
    <row r="12" spans="1:6" ht="14.4">
      <c r="A12" s="363" t="s">
        <v>604</v>
      </c>
      <c r="B12" s="365">
        <v>45279</v>
      </c>
      <c r="C12" s="363">
        <v>39477</v>
      </c>
      <c r="D12" s="363">
        <v>0</v>
      </c>
      <c r="E12" s="366">
        <v>40000000</v>
      </c>
    </row>
    <row r="13" spans="1:6" ht="14.4">
      <c r="A13" s="363" t="s">
        <v>604</v>
      </c>
      <c r="B13" s="365">
        <v>45303</v>
      </c>
      <c r="C13" s="363">
        <v>39515</v>
      </c>
      <c r="D13" s="363">
        <v>0</v>
      </c>
      <c r="E13" s="366">
        <v>20000000</v>
      </c>
    </row>
    <row r="14" spans="1:6" ht="14.4">
      <c r="A14" s="363" t="s">
        <v>604</v>
      </c>
      <c r="B14" s="365">
        <v>45335</v>
      </c>
      <c r="C14" s="363">
        <v>39567</v>
      </c>
      <c r="D14" s="363">
        <v>0</v>
      </c>
      <c r="E14" s="366">
        <v>20000000</v>
      </c>
    </row>
    <row r="15" spans="1:6" ht="14.4">
      <c r="A15" s="363" t="s">
        <v>604</v>
      </c>
      <c r="B15" s="365">
        <v>45365</v>
      </c>
      <c r="C15" s="363">
        <v>39616</v>
      </c>
      <c r="D15" s="363">
        <v>0</v>
      </c>
      <c r="E15" s="366">
        <v>20000000</v>
      </c>
    </row>
    <row r="16" spans="1:6" ht="14.4">
      <c r="A16" s="363" t="s">
        <v>604</v>
      </c>
      <c r="B16" s="365">
        <v>45386</v>
      </c>
      <c r="C16" s="363">
        <v>39651</v>
      </c>
      <c r="D16" s="363">
        <v>0</v>
      </c>
      <c r="E16" s="366">
        <v>20000000</v>
      </c>
    </row>
    <row r="17" spans="1:5" ht="14.4">
      <c r="A17" s="363" t="s">
        <v>604</v>
      </c>
      <c r="B17" s="365">
        <v>45422</v>
      </c>
      <c r="C17" s="363">
        <v>39713</v>
      </c>
      <c r="D17" s="363">
        <v>0</v>
      </c>
      <c r="E17" s="366">
        <v>20000000</v>
      </c>
    </row>
    <row r="18" spans="1:5" ht="14.4">
      <c r="A18" s="363" t="s">
        <v>604</v>
      </c>
      <c r="B18" s="365">
        <v>45460</v>
      </c>
      <c r="C18" s="363">
        <v>39749</v>
      </c>
      <c r="D18" s="363">
        <v>0</v>
      </c>
      <c r="E18" s="366">
        <v>20000000</v>
      </c>
    </row>
    <row r="19" spans="1:5" ht="14.4">
      <c r="A19" s="542" t="s">
        <v>604</v>
      </c>
      <c r="B19" s="365">
        <v>45540</v>
      </c>
      <c r="C19" s="363">
        <v>39848</v>
      </c>
      <c r="D19" s="363">
        <v>0</v>
      </c>
      <c r="E19" s="366">
        <v>24000000</v>
      </c>
    </row>
    <row r="20" spans="1:5" ht="14.4">
      <c r="A20" s="542" t="s">
        <v>604</v>
      </c>
      <c r="B20" s="365">
        <v>45576</v>
      </c>
      <c r="C20" s="363">
        <v>39885</v>
      </c>
      <c r="D20" s="363">
        <v>0</v>
      </c>
      <c r="E20" s="366">
        <v>8000000</v>
      </c>
    </row>
    <row r="21" spans="1:5" ht="14.4">
      <c r="A21" s="363" t="s">
        <v>604</v>
      </c>
      <c r="B21" s="365">
        <v>45608</v>
      </c>
      <c r="C21" s="363">
        <v>39926</v>
      </c>
      <c r="D21" s="363">
        <v>0</v>
      </c>
      <c r="E21" s="366">
        <v>8000000</v>
      </c>
    </row>
    <row r="22" spans="1:5" ht="14.4">
      <c r="A22" s="363" t="s">
        <v>604</v>
      </c>
      <c r="B22" s="365">
        <v>45623</v>
      </c>
      <c r="C22" s="363">
        <v>39936</v>
      </c>
      <c r="D22" s="363">
        <v>0</v>
      </c>
      <c r="E22" s="366">
        <v>12000000</v>
      </c>
    </row>
    <row r="23" spans="1:5" ht="14.4">
      <c r="A23" s="363" t="s">
        <v>604</v>
      </c>
      <c r="B23" s="365">
        <v>45623</v>
      </c>
      <c r="C23" s="363">
        <v>39941</v>
      </c>
      <c r="D23" s="363">
        <v>0</v>
      </c>
      <c r="E23" s="366">
        <v>20000000</v>
      </c>
    </row>
    <row r="24" spans="1:5" ht="15" thickBot="1">
      <c r="A24" s="363"/>
      <c r="B24" s="363"/>
      <c r="C24" s="363" t="s">
        <v>605</v>
      </c>
      <c r="D24" s="363"/>
      <c r="E24" s="367">
        <f>SUM(E8:E23)</f>
        <v>383156800</v>
      </c>
    </row>
    <row r="25" spans="1:5" ht="15" thickTop="1">
      <c r="A25" s="363"/>
      <c r="B25" s="363"/>
      <c r="C25" s="363"/>
      <c r="D25" s="363"/>
      <c r="E25" s="363"/>
    </row>
    <row r="32" spans="1:5" ht="15.6">
      <c r="A32" s="368" t="s">
        <v>594</v>
      </c>
      <c r="B32" s="368"/>
      <c r="C32" s="363"/>
      <c r="E32" s="363" t="s">
        <v>595</v>
      </c>
    </row>
    <row r="34" spans="1:5" ht="14.4">
      <c r="A34" s="363" t="s">
        <v>596</v>
      </c>
      <c r="B34" s="363"/>
      <c r="C34" s="365">
        <v>45200</v>
      </c>
      <c r="D34" s="363" t="s">
        <v>597</v>
      </c>
      <c r="E34" s="365">
        <v>45523</v>
      </c>
    </row>
    <row r="35" spans="1:5" ht="14.4">
      <c r="A35" s="363" t="s">
        <v>314</v>
      </c>
      <c r="B35" s="363"/>
      <c r="C35" s="363">
        <v>0</v>
      </c>
      <c r="D35" s="363" t="s">
        <v>598</v>
      </c>
      <c r="E35" s="363">
        <v>0</v>
      </c>
    </row>
    <row r="36" spans="1:5" ht="14.4">
      <c r="A36" s="375" t="s">
        <v>606</v>
      </c>
      <c r="B36" s="363"/>
      <c r="C36" s="363"/>
      <c r="D36" s="363"/>
      <c r="E36" s="363"/>
    </row>
    <row r="38" spans="1:5" ht="14.4">
      <c r="A38" s="369" t="s">
        <v>600</v>
      </c>
      <c r="B38" s="369" t="s">
        <v>370</v>
      </c>
      <c r="C38" s="369" t="s">
        <v>601</v>
      </c>
      <c r="D38" s="369" t="s">
        <v>602</v>
      </c>
      <c r="E38" s="369" t="s">
        <v>603</v>
      </c>
    </row>
    <row r="39" spans="1:5" ht="14.4">
      <c r="A39" s="363" t="s">
        <v>604</v>
      </c>
      <c r="B39" s="365">
        <v>45426</v>
      </c>
      <c r="C39" s="543" t="s">
        <v>607</v>
      </c>
      <c r="E39" s="544">
        <v>296750000</v>
      </c>
    </row>
    <row r="40" spans="1:5" ht="14.4">
      <c r="A40" s="363" t="s">
        <v>604</v>
      </c>
      <c r="B40" s="374">
        <v>45490</v>
      </c>
      <c r="C40">
        <v>39804</v>
      </c>
      <c r="D40" s="373"/>
      <c r="E40" s="366">
        <v>110000000</v>
      </c>
    </row>
    <row r="41" spans="1:5" ht="15" thickBot="1">
      <c r="A41" s="363"/>
      <c r="B41" s="365"/>
      <c r="C41" s="363"/>
      <c r="D41" s="544"/>
      <c r="E41" s="367">
        <f>SUM(E39:E40)</f>
        <v>406750000</v>
      </c>
    </row>
    <row r="42" spans="1:5" ht="15" thickTop="1">
      <c r="A42" s="363"/>
      <c r="B42" s="365"/>
      <c r="C42" s="363"/>
      <c r="D42" s="544"/>
      <c r="E42" s="366"/>
    </row>
    <row r="43" spans="1:5" ht="14.4">
      <c r="A43" s="363"/>
      <c r="B43" s="365"/>
      <c r="C43" s="363"/>
      <c r="D43" s="544"/>
      <c r="E43" s="366"/>
    </row>
    <row r="44" spans="1:5" ht="14.4">
      <c r="A44" s="363"/>
      <c r="B44" s="365"/>
      <c r="C44" s="363"/>
      <c r="D44" s="544"/>
      <c r="E44" s="366"/>
    </row>
    <row r="45" spans="1:5" ht="14.4">
      <c r="A45" s="363"/>
      <c r="B45" s="365"/>
      <c r="C45" s="363"/>
      <c r="D45" s="363"/>
      <c r="E45" s="366"/>
    </row>
    <row r="46" spans="1:5" ht="14.4">
      <c r="A46" s="363"/>
      <c r="B46" s="365"/>
      <c r="C46" s="363"/>
      <c r="D46" s="363"/>
      <c r="E46" s="366"/>
    </row>
    <row r="47" spans="1:5" ht="14.4">
      <c r="A47" s="363"/>
      <c r="B47" s="365"/>
      <c r="C47" s="363"/>
      <c r="D47" s="363"/>
      <c r="E47" s="366"/>
    </row>
    <row r="48" spans="1:5" ht="14.4">
      <c r="A48" s="363"/>
      <c r="B48" s="365"/>
      <c r="C48" s="363"/>
      <c r="D48" s="363"/>
      <c r="E48" s="366"/>
    </row>
    <row r="49" spans="1:5" ht="14.4">
      <c r="A49" s="363"/>
      <c r="B49" s="365"/>
      <c r="C49" s="363"/>
      <c r="D49" s="363"/>
      <c r="E49" s="366"/>
    </row>
    <row r="50" spans="1:5" ht="14.4">
      <c r="A50" s="363"/>
      <c r="B50" s="363"/>
      <c r="C50" s="363"/>
      <c r="D50" s="363"/>
      <c r="E50" s="366"/>
    </row>
    <row r="51" spans="1:5" ht="14.4">
      <c r="A51" s="363"/>
      <c r="B51" s="363"/>
      <c r="C51" s="363"/>
      <c r="D51" s="363"/>
      <c r="E51" s="366"/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1:L44"/>
  <sheetViews>
    <sheetView zoomScale="98" zoomScaleNormal="98" workbookViewId="0">
      <selection activeCell="D16" sqref="D16"/>
    </sheetView>
  </sheetViews>
  <sheetFormatPr baseColWidth="10" defaultColWidth="9.109375" defaultRowHeight="24.75" customHeight="1"/>
  <cols>
    <col min="1" max="1" width="4" style="1" customWidth="1"/>
    <col min="2" max="2" width="26" style="1" bestFit="1" customWidth="1"/>
    <col min="3" max="3" width="22.33203125" style="1" bestFit="1" customWidth="1"/>
    <col min="4" max="4" width="20" style="1" bestFit="1" customWidth="1"/>
    <col min="5" max="5" width="22" style="1" bestFit="1" customWidth="1"/>
    <col min="6" max="6" width="23.44140625" style="1" bestFit="1" customWidth="1"/>
    <col min="7" max="7" width="2.44140625" style="1" customWidth="1"/>
    <col min="8" max="9" width="18.88671875" style="1" bestFit="1" customWidth="1"/>
    <col min="10" max="10" width="22.5546875" style="1" bestFit="1" customWidth="1"/>
    <col min="11" max="11" width="12.44140625" style="1" bestFit="1" customWidth="1"/>
    <col min="12" max="12" width="17.44140625" style="1" bestFit="1" customWidth="1"/>
    <col min="13" max="13" width="13.33203125" style="1" bestFit="1" customWidth="1"/>
    <col min="14" max="16384" width="9.109375" style="1"/>
  </cols>
  <sheetData>
    <row r="1" spans="2:12" ht="15.6"/>
    <row r="2" spans="2:12" ht="15.6"/>
    <row r="3" spans="2:12" s="130" customFormat="1" ht="13.8"/>
    <row r="4" spans="2:12" s="130" customFormat="1" ht="13.8"/>
    <row r="5" spans="2:12" s="130" customFormat="1" ht="13.8"/>
    <row r="6" spans="2:12" s="130" customFormat="1" ht="16.5" customHeight="1">
      <c r="B6" s="585" t="s">
        <v>608</v>
      </c>
      <c r="C6" s="585"/>
      <c r="D6" s="585"/>
      <c r="E6" s="585"/>
      <c r="F6" s="585"/>
      <c r="G6" s="585"/>
      <c r="H6" s="585"/>
      <c r="I6" s="585"/>
      <c r="J6" s="585"/>
    </row>
    <row r="7" spans="2:12" s="130" customFormat="1" ht="19.5" customHeight="1">
      <c r="B7" s="587" t="s">
        <v>284</v>
      </c>
      <c r="C7" s="587"/>
      <c r="D7" s="587"/>
      <c r="E7" s="587"/>
      <c r="F7" s="587"/>
      <c r="G7" s="587"/>
      <c r="H7" s="587"/>
      <c r="I7" s="587"/>
      <c r="J7" s="587"/>
    </row>
    <row r="8" spans="2:12" s="130" customFormat="1" ht="20.25" customHeight="1">
      <c r="B8" s="585" t="s">
        <v>609</v>
      </c>
      <c r="C8" s="585"/>
      <c r="D8" s="585"/>
      <c r="E8" s="585"/>
      <c r="F8" s="585"/>
      <c r="G8" s="585"/>
      <c r="H8" s="585"/>
      <c r="I8" s="585"/>
      <c r="J8" s="585"/>
    </row>
    <row r="9" spans="2:12" s="130" customFormat="1" ht="20.25" customHeight="1">
      <c r="B9" s="586">
        <v>45688</v>
      </c>
      <c r="C9" s="586"/>
      <c r="D9" s="586"/>
      <c r="E9" s="586"/>
      <c r="F9" s="586"/>
      <c r="G9" s="586"/>
      <c r="H9" s="586"/>
      <c r="I9" s="586"/>
      <c r="J9" s="586"/>
    </row>
    <row r="10" spans="2:12" s="130" customFormat="1" ht="16.2">
      <c r="B10" s="303"/>
      <c r="C10" s="306"/>
      <c r="D10" s="306"/>
      <c r="E10" s="306"/>
      <c r="F10" s="303"/>
      <c r="G10" s="303"/>
      <c r="H10" s="227"/>
      <c r="I10" s="304"/>
      <c r="J10" s="305"/>
    </row>
    <row r="11" spans="2:12" s="130" customFormat="1" ht="54.75" customHeight="1" thickBot="1">
      <c r="B11" s="307" t="s">
        <v>268</v>
      </c>
      <c r="C11" s="308" t="s">
        <v>610</v>
      </c>
      <c r="D11" s="308" t="s">
        <v>611</v>
      </c>
      <c r="E11" s="308" t="s">
        <v>612</v>
      </c>
      <c r="F11" s="308" t="s">
        <v>613</v>
      </c>
      <c r="G11" s="308"/>
      <c r="H11" s="308" t="s">
        <v>614</v>
      </c>
      <c r="I11" s="308" t="s">
        <v>615</v>
      </c>
      <c r="J11" s="309" t="s">
        <v>616</v>
      </c>
    </row>
    <row r="12" spans="2:12" ht="24.75" customHeight="1">
      <c r="B12" s="310" t="s">
        <v>617</v>
      </c>
      <c r="C12" s="452">
        <v>55728999.609999999</v>
      </c>
      <c r="D12" s="452">
        <v>1003826</v>
      </c>
      <c r="E12" s="452">
        <v>25682855.010000002</v>
      </c>
      <c r="F12" s="453">
        <f>SUM(C12:E12)</f>
        <v>82415680.620000005</v>
      </c>
      <c r="G12" s="452"/>
      <c r="H12" s="453">
        <v>5881555.6499999994</v>
      </c>
      <c r="I12" s="453">
        <f>+H12</f>
        <v>5881555.6499999994</v>
      </c>
      <c r="J12" s="454">
        <f>+F12+I12</f>
        <v>88297236.270000011</v>
      </c>
      <c r="L12" s="2"/>
    </row>
    <row r="13" spans="2:12" ht="24.75" customHeight="1">
      <c r="B13" s="311" t="s">
        <v>618</v>
      </c>
      <c r="C13" s="455">
        <v>925887</v>
      </c>
      <c r="D13" s="455">
        <v>0</v>
      </c>
      <c r="E13" s="455">
        <v>0</v>
      </c>
      <c r="F13" s="453">
        <f>SUM(C13:E13)</f>
        <v>925887</v>
      </c>
      <c r="G13" s="456"/>
      <c r="H13" s="455">
        <v>0</v>
      </c>
      <c r="I13" s="455">
        <f>+H13</f>
        <v>0</v>
      </c>
      <c r="J13" s="454">
        <f t="shared" ref="J13:J16" si="0">+F13+I13</f>
        <v>925887</v>
      </c>
      <c r="L13" s="2"/>
    </row>
    <row r="14" spans="2:12" ht="24.75" customHeight="1">
      <c r="B14" s="311" t="s">
        <v>619</v>
      </c>
      <c r="C14" s="455">
        <v>0</v>
      </c>
      <c r="D14" s="455">
        <v>0</v>
      </c>
      <c r="E14" s="455">
        <v>0</v>
      </c>
      <c r="F14" s="453">
        <f>SUM(C14:E14)</f>
        <v>0</v>
      </c>
      <c r="G14" s="456"/>
      <c r="H14" s="455">
        <v>0</v>
      </c>
      <c r="I14" s="453">
        <f>+H14</f>
        <v>0</v>
      </c>
      <c r="J14" s="454">
        <f t="shared" si="0"/>
        <v>0</v>
      </c>
      <c r="L14" s="2"/>
    </row>
    <row r="15" spans="2:12" ht="24.75" customHeight="1">
      <c r="B15" s="311" t="s">
        <v>620</v>
      </c>
      <c r="C15" s="455">
        <v>0</v>
      </c>
      <c r="D15" s="455">
        <v>0</v>
      </c>
      <c r="E15" s="455">
        <v>0</v>
      </c>
      <c r="F15" s="453">
        <f>SUM(C15:E15)</f>
        <v>0</v>
      </c>
      <c r="G15" s="456"/>
      <c r="H15" s="455">
        <v>0</v>
      </c>
      <c r="I15" s="455">
        <f>+H15</f>
        <v>0</v>
      </c>
      <c r="J15" s="454">
        <f t="shared" si="0"/>
        <v>0</v>
      </c>
    </row>
    <row r="16" spans="2:12" ht="24.75" customHeight="1">
      <c r="B16" s="311" t="s">
        <v>621</v>
      </c>
      <c r="C16" s="457">
        <v>0</v>
      </c>
      <c r="D16" s="457">
        <v>0</v>
      </c>
      <c r="E16" s="457">
        <v>0</v>
      </c>
      <c r="F16" s="458">
        <f>SUM(C16:E16)</f>
        <v>0</v>
      </c>
      <c r="G16" s="459"/>
      <c r="H16" s="457">
        <v>0</v>
      </c>
      <c r="I16" s="457">
        <f>+H16</f>
        <v>0</v>
      </c>
      <c r="J16" s="460">
        <f t="shared" si="0"/>
        <v>0</v>
      </c>
      <c r="K16" s="487"/>
    </row>
    <row r="17" spans="2:12" ht="39" customHeight="1">
      <c r="B17" s="350" t="s">
        <v>622</v>
      </c>
      <c r="C17" s="461">
        <f>SUM(C12:C16)</f>
        <v>56654886.609999999</v>
      </c>
      <c r="D17" s="461">
        <f>SUM(D12:D16)</f>
        <v>1003826</v>
      </c>
      <c r="E17" s="461">
        <f>SUM(E12:E16)</f>
        <v>25682855.010000002</v>
      </c>
      <c r="F17" s="461">
        <f>SUM(F12:F16)</f>
        <v>83341567.620000005</v>
      </c>
      <c r="G17" s="462"/>
      <c r="H17" s="461">
        <f>SUM(H12:H16)</f>
        <v>5881555.6499999994</v>
      </c>
      <c r="I17" s="461">
        <f>SUM(I12:I16)</f>
        <v>5881555.6499999994</v>
      </c>
      <c r="J17" s="463">
        <f>SUM(J12:J16)</f>
        <v>89223123.270000011</v>
      </c>
      <c r="K17" s="487"/>
      <c r="L17" s="18">
        <v>88297236.270000011</v>
      </c>
    </row>
    <row r="18" spans="2:12" ht="24.75" customHeight="1">
      <c r="B18" s="311"/>
      <c r="C18" s="451"/>
      <c r="D18" s="451"/>
      <c r="E18" s="451"/>
      <c r="F18" s="451"/>
      <c r="G18" s="464"/>
      <c r="H18" s="451"/>
      <c r="I18" s="465"/>
      <c r="J18" s="466"/>
      <c r="K18" s="487"/>
    </row>
    <row r="19" spans="2:12" ht="38.25" customHeight="1">
      <c r="B19" s="443" t="s">
        <v>623</v>
      </c>
      <c r="C19" s="465"/>
      <c r="D19" s="465"/>
      <c r="E19" s="465"/>
      <c r="F19" s="465"/>
      <c r="G19" s="467"/>
      <c r="H19" s="465"/>
      <c r="I19" s="465"/>
      <c r="J19" s="466"/>
      <c r="K19" s="487"/>
    </row>
    <row r="20" spans="2:12" ht="24.75" customHeight="1">
      <c r="B20" s="311" t="s">
        <v>617</v>
      </c>
      <c r="C20" s="451">
        <v>38811323.840000004</v>
      </c>
      <c r="D20" s="451">
        <v>468452.60000000003</v>
      </c>
      <c r="E20" s="451">
        <v>21177357.57</v>
      </c>
      <c r="F20" s="468">
        <f>SUM(C20:E20)</f>
        <v>60457134.010000005</v>
      </c>
      <c r="G20" s="464"/>
      <c r="H20" s="451">
        <v>5881555.6499999994</v>
      </c>
      <c r="I20" s="451">
        <f>+H20</f>
        <v>5881555.6499999994</v>
      </c>
      <c r="J20" s="469">
        <f>+F20+I20</f>
        <v>66338689.660000004</v>
      </c>
    </row>
    <row r="21" spans="2:12" ht="24.75" customHeight="1">
      <c r="B21" s="311" t="s">
        <v>624</v>
      </c>
      <c r="C21" s="451">
        <v>535558.53</v>
      </c>
      <c r="D21" s="451">
        <v>16730.45</v>
      </c>
      <c r="E21" s="451">
        <v>102397.66</v>
      </c>
      <c r="F21" s="468">
        <f>SUM(C21:E21)</f>
        <v>654686.64</v>
      </c>
      <c r="G21" s="464"/>
      <c r="H21" s="451">
        <v>0</v>
      </c>
      <c r="I21" s="451">
        <f>+H21</f>
        <v>0</v>
      </c>
      <c r="J21" s="470">
        <f>+F21+I21</f>
        <v>654686.64</v>
      </c>
    </row>
    <row r="22" spans="2:12" ht="24.75" customHeight="1">
      <c r="B22" s="311" t="s">
        <v>620</v>
      </c>
      <c r="C22" s="451">
        <v>0</v>
      </c>
      <c r="D22" s="451">
        <v>0</v>
      </c>
      <c r="E22" s="451">
        <v>0</v>
      </c>
      <c r="F22" s="468">
        <f>SUM(C22:E22)</f>
        <v>0</v>
      </c>
      <c r="G22" s="464"/>
      <c r="H22" s="451">
        <v>0</v>
      </c>
      <c r="I22" s="451">
        <f>+H22</f>
        <v>0</v>
      </c>
      <c r="J22" s="470">
        <f>+F22+I22</f>
        <v>0</v>
      </c>
    </row>
    <row r="23" spans="2:12" ht="24.75" customHeight="1">
      <c r="B23" s="311" t="s">
        <v>625</v>
      </c>
      <c r="C23" s="471">
        <v>0</v>
      </c>
      <c r="D23" s="471">
        <v>0</v>
      </c>
      <c r="E23" s="471">
        <v>0</v>
      </c>
      <c r="F23" s="472">
        <f>SUM(C23:E23)</f>
        <v>0</v>
      </c>
      <c r="G23" s="473"/>
      <c r="H23" s="471">
        <v>0</v>
      </c>
      <c r="I23" s="471">
        <f>+H23</f>
        <v>0</v>
      </c>
      <c r="J23" s="474">
        <f>+F23+I23</f>
        <v>0</v>
      </c>
    </row>
    <row r="24" spans="2:12" ht="41.25" customHeight="1">
      <c r="B24" s="313" t="s">
        <v>626</v>
      </c>
      <c r="C24" s="475">
        <f>SUM(C20:C23)</f>
        <v>39346882.370000005</v>
      </c>
      <c r="D24" s="475">
        <f t="shared" ref="D24:F24" si="1">SUM(D20:D23)</f>
        <v>485183.05000000005</v>
      </c>
      <c r="E24" s="475">
        <f t="shared" si="1"/>
        <v>21279755.23</v>
      </c>
      <c r="F24" s="475">
        <f t="shared" si="1"/>
        <v>61111820.650000006</v>
      </c>
      <c r="G24" s="476"/>
      <c r="H24" s="475">
        <f>SUM(H20:H23)</f>
        <v>5881555.6499999994</v>
      </c>
      <c r="I24" s="475">
        <f>SUM(I20:I23)</f>
        <v>5881555.6499999994</v>
      </c>
      <c r="J24" s="477">
        <f>SUM(J20:J23)</f>
        <v>66993376.300000004</v>
      </c>
      <c r="L24" s="18">
        <v>66338689.659999996</v>
      </c>
    </row>
    <row r="25" spans="2:12" ht="24.75" customHeight="1">
      <c r="B25" s="312"/>
      <c r="C25" s="478"/>
      <c r="D25" s="478"/>
      <c r="E25" s="478"/>
      <c r="F25" s="478"/>
      <c r="G25" s="479"/>
      <c r="H25" s="451"/>
      <c r="I25" s="451"/>
      <c r="J25" s="469"/>
    </row>
    <row r="26" spans="2:12" ht="63.75" customHeight="1">
      <c r="B26" s="350" t="s">
        <v>627</v>
      </c>
      <c r="C26" s="480">
        <f>+C17-C24</f>
        <v>17308004.239999995</v>
      </c>
      <c r="D26" s="480">
        <f t="shared" ref="D26:F26" si="2">+D17-D24</f>
        <v>518642.94999999995</v>
      </c>
      <c r="E26" s="480">
        <f t="shared" si="2"/>
        <v>4403099.7800000012</v>
      </c>
      <c r="F26" s="480">
        <f t="shared" si="2"/>
        <v>22229746.969999999</v>
      </c>
      <c r="G26" s="481"/>
      <c r="H26" s="480">
        <f t="shared" ref="H26:I26" si="3">+H17-H24</f>
        <v>0</v>
      </c>
      <c r="I26" s="480">
        <f t="shared" si="3"/>
        <v>0</v>
      </c>
      <c r="J26" s="482">
        <f>+J17-J24</f>
        <v>22229746.970000006</v>
      </c>
      <c r="L26" s="18">
        <v>21958546.610000014</v>
      </c>
    </row>
    <row r="27" spans="2:12" ht="24.75" customHeight="1">
      <c r="B27" s="314"/>
      <c r="C27" s="483"/>
      <c r="D27" s="483"/>
      <c r="E27" s="483"/>
      <c r="F27" s="483"/>
      <c r="G27" s="483"/>
      <c r="H27" s="484"/>
      <c r="I27" s="484"/>
      <c r="J27" s="485"/>
    </row>
    <row r="28" spans="2:12" ht="24.75" customHeight="1">
      <c r="B28" s="2"/>
      <c r="C28" s="64"/>
      <c r="D28" s="64"/>
      <c r="E28" s="343"/>
      <c r="F28" s="64"/>
      <c r="G28" s="64"/>
      <c r="H28" s="64"/>
      <c r="I28" s="64"/>
      <c r="J28" s="64"/>
    </row>
    <row r="29" spans="2:12" ht="24.75" customHeight="1">
      <c r="E29" s="545"/>
      <c r="F29" s="64"/>
    </row>
    <row r="30" spans="2:12" ht="24.75" customHeight="1">
      <c r="E30" s="487"/>
      <c r="F30" s="64"/>
    </row>
    <row r="31" spans="2:12" ht="24.75" customHeight="1">
      <c r="E31" s="487"/>
      <c r="F31" s="64"/>
      <c r="J31" s="18"/>
    </row>
    <row r="32" spans="2:12" ht="24.75" customHeight="1">
      <c r="E32" s="487"/>
      <c r="F32" s="64"/>
    </row>
    <row r="33" spans="5:10" ht="24.75" customHeight="1">
      <c r="E33" s="2"/>
      <c r="F33" s="64"/>
    </row>
    <row r="34" spans="5:10" ht="24.75" customHeight="1">
      <c r="E34" s="2"/>
    </row>
    <row r="35" spans="5:10" ht="24.75" customHeight="1">
      <c r="E35" s="2"/>
      <c r="J35" s="18">
        <f>+J26-21958546.61</f>
        <v>271200.36000000685</v>
      </c>
    </row>
    <row r="36" spans="5:10" ht="24.75" customHeight="1">
      <c r="E36" s="2"/>
    </row>
    <row r="37" spans="5:10" ht="24.75" customHeight="1">
      <c r="E37" s="2"/>
    </row>
    <row r="38" spans="5:10" ht="24.75" customHeight="1">
      <c r="E38" s="2"/>
    </row>
    <row r="39" spans="5:10" ht="24.75" customHeight="1">
      <c r="E39" s="2"/>
    </row>
    <row r="40" spans="5:10" ht="24.75" customHeight="1">
      <c r="E40" s="2"/>
    </row>
    <row r="41" spans="5:10" ht="24.75" customHeight="1">
      <c r="E41" s="2"/>
    </row>
    <row r="42" spans="5:10" ht="24.75" customHeight="1">
      <c r="E42" s="2"/>
    </row>
    <row r="43" spans="5:10" ht="24.75" customHeight="1">
      <c r="E43" s="2"/>
    </row>
    <row r="44" spans="5:10" ht="24.75" customHeight="1">
      <c r="E44" s="2"/>
    </row>
  </sheetData>
  <mergeCells count="4">
    <mergeCell ref="B8:J8"/>
    <mergeCell ref="B9:J9"/>
    <mergeCell ref="B6:J6"/>
    <mergeCell ref="B7:J7"/>
  </mergeCells>
  <pageMargins left="0.19685039370078741" right="0.19685039370078741" top="0.74803149606299213" bottom="0.74803149606299213" header="0.31496062992125984" footer="0.31496062992125984"/>
  <pageSetup scale="58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H111"/>
  <sheetViews>
    <sheetView topLeftCell="A72" zoomScaleNormal="100" zoomScaleSheetLayoutView="90" workbookViewId="0">
      <selection activeCell="D16" sqref="D16"/>
    </sheetView>
  </sheetViews>
  <sheetFormatPr baseColWidth="10" defaultColWidth="9.109375" defaultRowHeight="24.75" customHeight="1"/>
  <cols>
    <col min="1" max="1" width="4.33203125" style="1" customWidth="1"/>
    <col min="2" max="2" width="57.44140625" style="1" customWidth="1"/>
    <col min="3" max="3" width="25.33203125" style="1" customWidth="1"/>
    <col min="4" max="4" width="2.109375" style="1" customWidth="1"/>
    <col min="5" max="5" width="23.88671875" style="1" customWidth="1"/>
    <col min="6" max="6" width="17.44140625" style="1" bestFit="1" customWidth="1"/>
    <col min="7" max="7" width="16.88671875" style="1" customWidth="1"/>
    <col min="8" max="8" width="12.44140625" style="1" customWidth="1"/>
    <col min="9" max="16384" width="9.109375" style="1"/>
  </cols>
  <sheetData>
    <row r="1" spans="2:7" ht="24.75" customHeight="1">
      <c r="C1" s="2"/>
      <c r="D1" s="2"/>
      <c r="E1" s="2"/>
    </row>
    <row r="2" spans="2:7" ht="24.75" customHeight="1">
      <c r="B2" s="15"/>
      <c r="C2" s="15"/>
      <c r="D2" s="15"/>
      <c r="E2" s="15"/>
    </row>
    <row r="3" spans="2:7" ht="24.75" customHeight="1">
      <c r="B3" s="551" t="s">
        <v>628</v>
      </c>
      <c r="C3" s="551"/>
      <c r="D3" s="15"/>
      <c r="E3" s="15"/>
    </row>
    <row r="4" spans="2:7" ht="24.75" customHeight="1">
      <c r="B4" s="551" t="s">
        <v>284</v>
      </c>
      <c r="C4" s="551"/>
      <c r="D4" s="15"/>
      <c r="E4" s="15"/>
    </row>
    <row r="5" spans="2:7" ht="24.75" customHeight="1">
      <c r="B5" s="551" t="s">
        <v>629</v>
      </c>
      <c r="C5" s="551"/>
      <c r="D5" s="15"/>
      <c r="E5" s="15"/>
    </row>
    <row r="6" spans="2:7" ht="24.75" customHeight="1">
      <c r="B6" s="563">
        <v>45688</v>
      </c>
      <c r="C6" s="563"/>
      <c r="D6" s="99"/>
      <c r="F6" s="17"/>
      <c r="G6" s="64"/>
    </row>
    <row r="7" spans="2:7" ht="24.75" customHeight="1" thickBot="1">
      <c r="B7" s="68"/>
      <c r="C7" s="287"/>
      <c r="D7" s="229"/>
      <c r="F7" s="17"/>
      <c r="G7" s="2"/>
    </row>
    <row r="8" spans="2:7" ht="24.75" customHeight="1" thickBot="1">
      <c r="B8" s="70" t="s">
        <v>268</v>
      </c>
      <c r="C8" s="72" t="s">
        <v>287</v>
      </c>
      <c r="D8" s="229"/>
      <c r="F8" s="17"/>
      <c r="G8" s="2"/>
    </row>
    <row r="9" spans="2:7" ht="24.75" customHeight="1">
      <c r="B9" s="288" t="s">
        <v>129</v>
      </c>
      <c r="C9" s="348">
        <v>2433852.2799999998</v>
      </c>
      <c r="D9" s="229"/>
      <c r="E9" s="522"/>
      <c r="F9" s="17"/>
      <c r="G9" s="64"/>
    </row>
    <row r="10" spans="2:7" ht="24.75" customHeight="1">
      <c r="B10" s="289" t="s">
        <v>130</v>
      </c>
      <c r="C10" s="230">
        <v>422180.86</v>
      </c>
      <c r="D10" s="229"/>
      <c r="E10" s="522"/>
      <c r="F10" s="17"/>
      <c r="G10" s="2"/>
    </row>
    <row r="11" spans="2:7" ht="24.75" customHeight="1">
      <c r="B11" s="289" t="s">
        <v>131</v>
      </c>
      <c r="C11" s="230">
        <v>100161.08</v>
      </c>
      <c r="D11" s="356"/>
      <c r="E11" s="523"/>
      <c r="F11" s="17"/>
      <c r="G11" s="64"/>
    </row>
    <row r="12" spans="2:7" ht="24.75" customHeight="1">
      <c r="B12" s="75" t="s">
        <v>133</v>
      </c>
      <c r="C12" s="232">
        <v>7890</v>
      </c>
      <c r="D12" s="229"/>
      <c r="E12" s="522"/>
      <c r="F12" s="17"/>
      <c r="G12" s="2"/>
    </row>
    <row r="13" spans="2:7" ht="24.75" hidden="1" customHeight="1">
      <c r="B13" s="75" t="s">
        <v>630</v>
      </c>
      <c r="C13" s="230">
        <v>0</v>
      </c>
      <c r="D13" s="229"/>
      <c r="F13" s="17"/>
      <c r="G13" s="2"/>
    </row>
    <row r="14" spans="2:7" ht="24.75" hidden="1" customHeight="1">
      <c r="B14" s="289" t="s">
        <v>631</v>
      </c>
      <c r="C14" s="232">
        <v>0</v>
      </c>
      <c r="D14" s="229"/>
      <c r="F14" s="17"/>
      <c r="G14" s="64"/>
    </row>
    <row r="15" spans="2:7" ht="24.75" customHeight="1">
      <c r="B15" s="290" t="s">
        <v>135</v>
      </c>
      <c r="C15" s="291">
        <f>SUM(C9:C14)</f>
        <v>2964084.2199999997</v>
      </c>
      <c r="D15" s="229"/>
      <c r="E15" s="2"/>
      <c r="G15" s="18"/>
    </row>
    <row r="16" spans="2:7" ht="24.75" customHeight="1" thickBot="1">
      <c r="B16" s="83"/>
      <c r="C16" s="159"/>
      <c r="D16" s="229"/>
      <c r="E16" s="2"/>
    </row>
    <row r="17" spans="3:5" ht="24.75" customHeight="1">
      <c r="C17" s="55"/>
      <c r="D17" s="229"/>
      <c r="E17" s="2"/>
    </row>
    <row r="18" spans="3:5" ht="24.75" customHeight="1">
      <c r="C18" s="55"/>
      <c r="D18" s="229"/>
      <c r="E18" s="2"/>
    </row>
    <row r="19" spans="3:5" ht="24.75" customHeight="1">
      <c r="C19" s="55"/>
      <c r="E19" s="2"/>
    </row>
    <row r="20" spans="3:5" ht="24.75" customHeight="1">
      <c r="C20" s="55"/>
      <c r="E20" s="2"/>
    </row>
    <row r="21" spans="3:5" ht="24.75" customHeight="1">
      <c r="C21" s="55"/>
      <c r="E21" s="2"/>
    </row>
    <row r="22" spans="3:5" ht="24.75" customHeight="1">
      <c r="C22" s="55"/>
      <c r="E22" s="2"/>
    </row>
    <row r="23" spans="3:5" ht="24.75" customHeight="1">
      <c r="C23" s="55"/>
      <c r="E23" s="2"/>
    </row>
    <row r="24" spans="3:5" ht="24.75" customHeight="1">
      <c r="C24" s="55"/>
      <c r="E24" s="2"/>
    </row>
    <row r="25" spans="3:5" ht="24.75" customHeight="1">
      <c r="C25" s="55"/>
      <c r="E25" s="2"/>
    </row>
    <row r="26" spans="3:5" ht="24.75" customHeight="1">
      <c r="C26" s="55"/>
      <c r="E26" s="2"/>
    </row>
    <row r="27" spans="3:5" ht="24.75" customHeight="1">
      <c r="C27" s="55"/>
      <c r="E27" s="2"/>
    </row>
    <row r="28" spans="3:5" ht="24.75" customHeight="1">
      <c r="C28" s="55"/>
      <c r="E28" s="2"/>
    </row>
    <row r="29" spans="3:5" ht="24.75" customHeight="1">
      <c r="C29" s="55"/>
      <c r="E29" s="2"/>
    </row>
    <row r="30" spans="3:5" ht="24.75" customHeight="1">
      <c r="C30" s="55"/>
      <c r="E30" s="2"/>
    </row>
    <row r="31" spans="3:5" ht="11.25" customHeight="1">
      <c r="C31" s="55"/>
      <c r="E31" s="2"/>
    </row>
    <row r="32" spans="3:5" ht="24.75" customHeight="1">
      <c r="C32" s="2"/>
    </row>
    <row r="33" spans="2:8" ht="24.75" customHeight="1">
      <c r="B33" s="551" t="str">
        <f>+B3</f>
        <v>NOTA 9</v>
      </c>
      <c r="C33" s="551"/>
    </row>
    <row r="34" spans="2:8" ht="24.75" customHeight="1">
      <c r="B34" s="551" t="str">
        <f>+B4</f>
        <v>Cédula de detalle de cuentas</v>
      </c>
      <c r="C34" s="551"/>
    </row>
    <row r="35" spans="2:8" ht="24.75" customHeight="1">
      <c r="B35" s="551" t="str">
        <f>+B5</f>
        <v xml:space="preserve">Cuentas por pagar </v>
      </c>
      <c r="C35" s="551"/>
      <c r="E35" s="357"/>
      <c r="F35" s="358"/>
      <c r="H35" s="2"/>
    </row>
    <row r="36" spans="2:8" ht="24.75" customHeight="1">
      <c r="B36" s="563">
        <v>45657</v>
      </c>
      <c r="C36" s="563"/>
      <c r="E36" s="357"/>
      <c r="F36" s="358"/>
      <c r="H36" s="28"/>
    </row>
    <row r="37" spans="2:8" ht="24.75" customHeight="1" thickBot="1">
      <c r="E37" s="357"/>
      <c r="F37" s="358"/>
      <c r="H37" s="28"/>
    </row>
    <row r="38" spans="2:8" ht="24.75" customHeight="1" thickBot="1">
      <c r="B38" s="70" t="s">
        <v>268</v>
      </c>
      <c r="C38" s="72" t="s">
        <v>287</v>
      </c>
      <c r="E38" s="357"/>
      <c r="F38" s="358"/>
      <c r="H38" s="28"/>
    </row>
    <row r="39" spans="2:8" ht="24.75" hidden="1" customHeight="1">
      <c r="B39" s="315" t="s">
        <v>632</v>
      </c>
      <c r="C39" s="359"/>
      <c r="E39" s="357"/>
      <c r="F39" s="358"/>
    </row>
    <row r="40" spans="2:8" ht="24.75" hidden="1" customHeight="1">
      <c r="B40" s="288" t="s">
        <v>633</v>
      </c>
      <c r="C40" s="292"/>
      <c r="E40" s="357"/>
      <c r="F40" s="358"/>
    </row>
    <row r="41" spans="2:8" ht="24.75" customHeight="1">
      <c r="B41" s="288" t="s">
        <v>634</v>
      </c>
      <c r="C41" s="292">
        <v>600130.30000000005</v>
      </c>
      <c r="E41" s="357"/>
      <c r="F41" s="358"/>
    </row>
    <row r="42" spans="2:8" ht="24.75" customHeight="1">
      <c r="B42" s="288" t="s">
        <v>635</v>
      </c>
      <c r="C42" s="292">
        <v>925887</v>
      </c>
      <c r="E42" s="357"/>
      <c r="F42" s="358"/>
    </row>
    <row r="43" spans="2:8" ht="24.75" customHeight="1">
      <c r="B43" s="288" t="s">
        <v>636</v>
      </c>
      <c r="C43" s="292">
        <v>863850</v>
      </c>
      <c r="E43" s="357"/>
      <c r="F43" s="358"/>
    </row>
    <row r="44" spans="2:8" ht="23.25" customHeight="1">
      <c r="B44" s="288" t="s">
        <v>637</v>
      </c>
      <c r="C44" s="372">
        <v>43984.98</v>
      </c>
    </row>
    <row r="45" spans="2:8" ht="24.75" customHeight="1" thickBot="1">
      <c r="B45" s="93" t="s">
        <v>305</v>
      </c>
      <c r="C45" s="400">
        <f>SUM(C39:C44)</f>
        <v>2433852.2799999998</v>
      </c>
      <c r="E45" s="2"/>
    </row>
    <row r="46" spans="2:8" ht="15" customHeight="1">
      <c r="C46" s="55"/>
      <c r="E46" s="2"/>
    </row>
    <row r="47" spans="2:8" ht="15" customHeight="1">
      <c r="C47" s="55">
        <f>+C9-C45</f>
        <v>0</v>
      </c>
      <c r="E47" s="2"/>
    </row>
    <row r="48" spans="2:8" ht="24.75" customHeight="1">
      <c r="C48" s="55"/>
      <c r="E48" s="2"/>
    </row>
    <row r="49" spans="2:5" ht="24.75" customHeight="1">
      <c r="B49" s="551" t="str">
        <f>+B33</f>
        <v>NOTA 9</v>
      </c>
      <c r="C49" s="551"/>
    </row>
    <row r="50" spans="2:5" ht="24.75" customHeight="1">
      <c r="B50" s="551" t="str">
        <f>+B34</f>
        <v>Cédula de detalle de cuentas</v>
      </c>
      <c r="C50" s="551"/>
    </row>
    <row r="51" spans="2:5" ht="24.75" customHeight="1">
      <c r="B51" s="551" t="s">
        <v>638</v>
      </c>
      <c r="C51" s="551"/>
    </row>
    <row r="52" spans="2:5" ht="24.75" customHeight="1">
      <c r="B52" s="563">
        <v>45657</v>
      </c>
      <c r="C52" s="563"/>
    </row>
    <row r="53" spans="2:5" ht="24.75" customHeight="1" thickBot="1">
      <c r="C53" s="2"/>
    </row>
    <row r="54" spans="2:5" ht="24.75" customHeight="1" thickBot="1">
      <c r="B54" s="70" t="s">
        <v>268</v>
      </c>
      <c r="C54" s="72" t="s">
        <v>287</v>
      </c>
    </row>
    <row r="55" spans="2:5" ht="24.75" customHeight="1">
      <c r="B55" s="289" t="s">
        <v>639</v>
      </c>
      <c r="C55" s="399">
        <v>422180.86</v>
      </c>
      <c r="D55" s="301"/>
      <c r="E55" s="302"/>
    </row>
    <row r="56" spans="2:5" ht="15.75" hidden="1" customHeight="1">
      <c r="B56" s="289" t="s">
        <v>640</v>
      </c>
      <c r="C56" s="293"/>
      <c r="D56" s="301"/>
      <c r="E56" s="302"/>
    </row>
    <row r="57" spans="2:5" ht="24.75" customHeight="1">
      <c r="B57" s="80" t="s">
        <v>587</v>
      </c>
      <c r="C57" s="82">
        <f>SUM(C55:C56)</f>
        <v>422180.86</v>
      </c>
    </row>
    <row r="58" spans="2:5" ht="16.2" thickBot="1">
      <c r="B58" s="83"/>
      <c r="C58" s="159">
        <f>+C10-C57</f>
        <v>0</v>
      </c>
      <c r="D58" s="28"/>
    </row>
    <row r="59" spans="2:5" ht="25.5" customHeight="1">
      <c r="D59" s="28"/>
    </row>
    <row r="60" spans="2:5" ht="25.5" customHeight="1">
      <c r="D60" s="28"/>
    </row>
    <row r="61" spans="2:5" ht="25.5" customHeight="1">
      <c r="D61" s="28"/>
    </row>
    <row r="62" spans="2:5" ht="25.5" customHeight="1">
      <c r="D62" s="28"/>
    </row>
    <row r="63" spans="2:5" ht="25.5" customHeight="1">
      <c r="D63" s="28"/>
    </row>
    <row r="64" spans="2:5" ht="25.5" customHeight="1">
      <c r="C64" s="18"/>
      <c r="D64" s="28"/>
    </row>
    <row r="65" spans="2:4" ht="18" customHeight="1">
      <c r="D65" s="55"/>
    </row>
    <row r="66" spans="2:4" ht="25.5" customHeight="1">
      <c r="B66" s="551" t="str">
        <f>+B49</f>
        <v>NOTA 9</v>
      </c>
      <c r="C66" s="551"/>
      <c r="D66" s="2"/>
    </row>
    <row r="67" spans="2:4" ht="25.5" customHeight="1">
      <c r="B67" s="551" t="str">
        <f>+B50</f>
        <v>Cédula de detalle de cuentas</v>
      </c>
      <c r="C67" s="551"/>
    </row>
    <row r="68" spans="2:4" ht="25.5" customHeight="1">
      <c r="B68" s="551" t="s">
        <v>133</v>
      </c>
      <c r="C68" s="551"/>
    </row>
    <row r="69" spans="2:4" ht="25.5" customHeight="1">
      <c r="B69" s="563">
        <v>45688</v>
      </c>
      <c r="C69" s="563"/>
    </row>
    <row r="70" spans="2:4" ht="25.5" customHeight="1" thickBot="1"/>
    <row r="71" spans="2:4" ht="24.75" customHeight="1">
      <c r="B71" s="156" t="s">
        <v>268</v>
      </c>
      <c r="C71" s="157" t="s">
        <v>287</v>
      </c>
    </row>
    <row r="72" spans="2:4" ht="23.25" customHeight="1">
      <c r="B72" s="289" t="s">
        <v>641</v>
      </c>
      <c r="C72" s="293">
        <v>300</v>
      </c>
    </row>
    <row r="73" spans="2:4" ht="23.25" customHeight="1">
      <c r="B73" s="288" t="s">
        <v>642</v>
      </c>
      <c r="C73" s="292">
        <v>2750</v>
      </c>
    </row>
    <row r="74" spans="2:4" ht="23.25" customHeight="1">
      <c r="B74" s="288" t="s">
        <v>643</v>
      </c>
      <c r="C74" s="292">
        <v>1120</v>
      </c>
    </row>
    <row r="75" spans="2:4" ht="23.25" customHeight="1">
      <c r="B75" s="288" t="s">
        <v>644</v>
      </c>
      <c r="C75" s="292">
        <v>300</v>
      </c>
    </row>
    <row r="76" spans="2:4" ht="23.25" customHeight="1">
      <c r="B76" s="288" t="s">
        <v>645</v>
      </c>
      <c r="C76" s="292">
        <v>860</v>
      </c>
    </row>
    <row r="77" spans="2:4" ht="23.25" customHeight="1">
      <c r="B77" s="288" t="s">
        <v>646</v>
      </c>
      <c r="C77" s="292">
        <v>1700</v>
      </c>
    </row>
    <row r="78" spans="2:4" ht="23.25" customHeight="1">
      <c r="B78" s="288" t="s">
        <v>647</v>
      </c>
      <c r="C78" s="292">
        <v>560</v>
      </c>
    </row>
    <row r="79" spans="2:4" ht="23.25" customHeight="1">
      <c r="B79" s="288" t="s">
        <v>648</v>
      </c>
      <c r="C79" s="372">
        <v>300</v>
      </c>
    </row>
    <row r="80" spans="2:4" ht="23.25" hidden="1" customHeight="1">
      <c r="B80" s="288" t="s">
        <v>649</v>
      </c>
      <c r="C80" s="292"/>
    </row>
    <row r="81" spans="2:3" ht="23.25" hidden="1" customHeight="1">
      <c r="B81" s="288" t="s">
        <v>650</v>
      </c>
      <c r="C81" s="372"/>
    </row>
    <row r="82" spans="2:3" ht="24.75" customHeight="1">
      <c r="B82" s="80" t="s">
        <v>587</v>
      </c>
      <c r="C82" s="82">
        <f>SUM(C72:C81)</f>
        <v>7890</v>
      </c>
    </row>
    <row r="83" spans="2:3" ht="24.75" customHeight="1" thickBot="1">
      <c r="B83" s="83"/>
      <c r="C83" s="159"/>
    </row>
    <row r="84" spans="2:3" ht="24.75" customHeight="1">
      <c r="C84" s="55">
        <f>+C12-C82</f>
        <v>0</v>
      </c>
    </row>
    <row r="85" spans="2:3" ht="8.25" customHeight="1"/>
    <row r="86" spans="2:3" ht="24.75" customHeight="1">
      <c r="C86" s="18"/>
    </row>
    <row r="87" spans="2:3" ht="16.5" customHeight="1"/>
    <row r="88" spans="2:3" ht="24.75" hidden="1" customHeight="1">
      <c r="B88" s="551" t="s">
        <v>628</v>
      </c>
      <c r="C88" s="551"/>
    </row>
    <row r="89" spans="2:3" ht="24.75" hidden="1" customHeight="1">
      <c r="B89" s="551" t="s">
        <v>284</v>
      </c>
      <c r="C89" s="551"/>
    </row>
    <row r="90" spans="2:3" ht="24.75" hidden="1" customHeight="1">
      <c r="B90" s="551" t="s">
        <v>133</v>
      </c>
      <c r="C90" s="551"/>
    </row>
    <row r="91" spans="2:3" ht="24.75" hidden="1" customHeight="1">
      <c r="B91" s="563">
        <v>45626</v>
      </c>
      <c r="C91" s="563"/>
    </row>
    <row r="92" spans="2:3" ht="12" hidden="1" customHeight="1" thickBot="1"/>
    <row r="93" spans="2:3" ht="24.75" hidden="1" customHeight="1" thickBot="1">
      <c r="B93" s="156" t="s">
        <v>268</v>
      </c>
      <c r="C93" s="157" t="s">
        <v>287</v>
      </c>
    </row>
    <row r="94" spans="2:3" ht="24.75" hidden="1" customHeight="1">
      <c r="B94" s="315" t="s">
        <v>651</v>
      </c>
      <c r="C94" s="359"/>
    </row>
    <row r="95" spans="2:3" ht="24.75" hidden="1" customHeight="1">
      <c r="B95" s="289" t="s">
        <v>652</v>
      </c>
      <c r="C95" s="399"/>
    </row>
    <row r="96" spans="2:3" ht="24.75" hidden="1" customHeight="1">
      <c r="B96" s="80" t="s">
        <v>587</v>
      </c>
      <c r="C96" s="82">
        <f>SUM(C94:C95)</f>
        <v>0</v>
      </c>
    </row>
    <row r="98" spans="2:3" ht="24.75" hidden="1" customHeight="1">
      <c r="C98" s="18"/>
    </row>
    <row r="99" spans="2:3" ht="24.75" hidden="1" customHeight="1"/>
    <row r="100" spans="2:3" ht="24.75" hidden="1" customHeight="1">
      <c r="B100" s="551" t="s">
        <v>628</v>
      </c>
      <c r="C100" s="551"/>
    </row>
    <row r="101" spans="2:3" ht="23.25" hidden="1" customHeight="1">
      <c r="B101" s="551" t="s">
        <v>284</v>
      </c>
      <c r="C101" s="551"/>
    </row>
    <row r="102" spans="2:3" ht="24.75" hidden="1" customHeight="1">
      <c r="B102" s="551" t="s">
        <v>653</v>
      </c>
      <c r="C102" s="551"/>
    </row>
    <row r="103" spans="2:3" ht="24.75" hidden="1" customHeight="1">
      <c r="B103" s="563">
        <v>45657</v>
      </c>
      <c r="C103" s="563"/>
    </row>
    <row r="104" spans="2:3" ht="24.75" hidden="1" customHeight="1" thickBot="1"/>
    <row r="105" spans="2:3" ht="24.75" hidden="1" customHeight="1" thickBot="1">
      <c r="B105" s="156" t="s">
        <v>268</v>
      </c>
      <c r="C105" s="157" t="s">
        <v>287</v>
      </c>
    </row>
    <row r="106" spans="2:3" ht="23.25" hidden="1" customHeight="1">
      <c r="B106" s="315" t="s">
        <v>654</v>
      </c>
      <c r="C106" s="359">
        <f>+C13</f>
        <v>0</v>
      </c>
    </row>
    <row r="107" spans="2:3" ht="24.75" hidden="1" customHeight="1">
      <c r="B107" s="80" t="s">
        <v>587</v>
      </c>
      <c r="C107" s="82">
        <f>SUM(C106:C106)</f>
        <v>0</v>
      </c>
    </row>
    <row r="108" spans="2:3" ht="24.75" hidden="1" customHeight="1" thickBot="1">
      <c r="B108" s="83"/>
      <c r="C108" s="159"/>
    </row>
    <row r="109" spans="2:3" ht="24.75" hidden="1" customHeight="1"/>
    <row r="111" spans="2:3" ht="24.75" customHeight="1">
      <c r="C111" s="55"/>
    </row>
  </sheetData>
  <sortState xmlns:xlrd2="http://schemas.microsoft.com/office/spreadsheetml/2017/richdata2" ref="A41:C44">
    <sortCondition ref="A41:A44"/>
  </sortState>
  <mergeCells count="24">
    <mergeCell ref="B100:C100"/>
    <mergeCell ref="B101:C101"/>
    <mergeCell ref="B102:C102"/>
    <mergeCell ref="B103:C103"/>
    <mergeCell ref="B89:C89"/>
    <mergeCell ref="B90:C90"/>
    <mergeCell ref="B91:C91"/>
    <mergeCell ref="B88:C88"/>
    <mergeCell ref="B51:C51"/>
    <mergeCell ref="B52:C52"/>
    <mergeCell ref="B66:C66"/>
    <mergeCell ref="B67:C67"/>
    <mergeCell ref="B69:C69"/>
    <mergeCell ref="B68:C68"/>
    <mergeCell ref="B3:C3"/>
    <mergeCell ref="B4:C4"/>
    <mergeCell ref="B5:C5"/>
    <mergeCell ref="B6:C6"/>
    <mergeCell ref="B49:C49"/>
    <mergeCell ref="B50:C50"/>
    <mergeCell ref="B33:C33"/>
    <mergeCell ref="B34:C34"/>
    <mergeCell ref="B35:C35"/>
    <mergeCell ref="B36:C36"/>
  </mergeCells>
  <pageMargins left="0.9055118110236221" right="0.70866141732283472" top="0.74803149606299213" bottom="0.74803149606299213" header="0.31496062992125984" footer="0.31496062992125984"/>
  <pageSetup orientation="portrait" r:id="rId1"/>
  <rowBreaks count="1" manualBreakCount="1">
    <brk id="30" max="2" man="1"/>
  </row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4FE72-4F63-4CFA-8E3D-5CC06D82A2B3}">
  <dimension ref="B1:F43"/>
  <sheetViews>
    <sheetView view="pageBreakPreview" zoomScale="90" zoomScaleNormal="100" zoomScaleSheetLayoutView="90" workbookViewId="0">
      <selection activeCell="D16" sqref="D16"/>
    </sheetView>
  </sheetViews>
  <sheetFormatPr baseColWidth="10" defaultColWidth="9.109375" defaultRowHeight="24.75" customHeight="1"/>
  <cols>
    <col min="1" max="1" width="4.88671875" style="1" customWidth="1"/>
    <col min="2" max="2" width="64.6640625" style="1" customWidth="1"/>
    <col min="3" max="4" width="25.33203125" style="1" customWidth="1"/>
    <col min="5" max="5" width="17.44140625" style="1" bestFit="1" customWidth="1"/>
    <col min="6" max="6" width="16.88671875" style="1" customWidth="1"/>
    <col min="7" max="7" width="12.44140625" style="1" customWidth="1"/>
    <col min="8" max="16384" width="9.109375" style="1"/>
  </cols>
  <sheetData>
    <row r="1" spans="2:6" ht="24.75" customHeight="1">
      <c r="C1" s="2"/>
      <c r="D1" s="87"/>
    </row>
    <row r="2" spans="2:6" ht="24.75" customHeight="1">
      <c r="B2" s="15"/>
      <c r="C2" s="15"/>
      <c r="D2" s="15"/>
    </row>
    <row r="3" spans="2:6" ht="24.75" customHeight="1">
      <c r="B3" s="551" t="s">
        <v>655</v>
      </c>
      <c r="C3" s="551"/>
      <c r="D3" s="47"/>
    </row>
    <row r="4" spans="2:6" ht="24.75" customHeight="1">
      <c r="B4" s="551" t="s">
        <v>284</v>
      </c>
      <c r="C4" s="551"/>
      <c r="D4" s="47"/>
    </row>
    <row r="5" spans="2:6" ht="24.75" customHeight="1">
      <c r="B5" s="551" t="s">
        <v>656</v>
      </c>
      <c r="C5" s="551"/>
      <c r="D5" s="47"/>
    </row>
    <row r="6" spans="2:6" ht="24.75" customHeight="1">
      <c r="B6" s="563">
        <v>45688</v>
      </c>
      <c r="C6" s="563"/>
      <c r="D6" s="67"/>
      <c r="E6" s="17"/>
      <c r="F6" s="64"/>
    </row>
    <row r="7" spans="2:6" ht="24.75" customHeight="1" thickBot="1">
      <c r="B7" s="68"/>
      <c r="C7" s="287"/>
      <c r="D7" s="347"/>
      <c r="E7" s="17"/>
      <c r="F7" s="2"/>
    </row>
    <row r="8" spans="2:6" ht="33.75" customHeight="1" thickBot="1">
      <c r="B8" s="492" t="s">
        <v>268</v>
      </c>
      <c r="C8" s="493" t="s">
        <v>287</v>
      </c>
      <c r="D8" s="47"/>
      <c r="E8" s="17"/>
      <c r="F8" s="2"/>
    </row>
    <row r="9" spans="2:6" ht="36.75" customHeight="1">
      <c r="B9" s="491" t="s">
        <v>657</v>
      </c>
      <c r="C9" s="496">
        <v>653990.1</v>
      </c>
      <c r="D9" s="346"/>
    </row>
    <row r="10" spans="2:6" ht="33" customHeight="1">
      <c r="B10" s="290" t="s">
        <v>658</v>
      </c>
      <c r="C10" s="291">
        <f>SUM(C9:C9)</f>
        <v>653990.1</v>
      </c>
      <c r="D10" s="87"/>
    </row>
    <row r="11" spans="2:6" ht="24.75" customHeight="1" thickBot="1">
      <c r="B11" s="83"/>
      <c r="C11" s="159"/>
      <c r="D11" s="87"/>
    </row>
    <row r="12" spans="2:6" ht="24.75" customHeight="1">
      <c r="C12" s="55"/>
      <c r="D12" s="87"/>
    </row>
    <row r="13" spans="2:6" ht="24.75" customHeight="1">
      <c r="C13" s="523"/>
      <c r="D13" s="87"/>
    </row>
    <row r="14" spans="2:6" ht="24.75" customHeight="1">
      <c r="D14" s="87"/>
    </row>
    <row r="15" spans="2:6" ht="24.75" customHeight="1">
      <c r="D15" s="87"/>
    </row>
    <row r="16" spans="2:6" ht="24.75" customHeight="1">
      <c r="C16" s="55"/>
      <c r="D16" s="87"/>
    </row>
    <row r="17" spans="2:4" ht="24.75" customHeight="1">
      <c r="C17" s="55"/>
      <c r="D17" s="87"/>
    </row>
    <row r="18" spans="2:4" ht="24.75" customHeight="1">
      <c r="C18" s="55"/>
      <c r="D18" s="87"/>
    </row>
    <row r="19" spans="2:4" ht="24.75" customHeight="1">
      <c r="C19" s="55"/>
      <c r="D19" s="87"/>
    </row>
    <row r="20" spans="2:4" ht="24.75" customHeight="1">
      <c r="C20" s="55"/>
      <c r="D20" s="87"/>
    </row>
    <row r="21" spans="2:4" ht="24.75" customHeight="1">
      <c r="C21" s="55"/>
      <c r="D21" s="87"/>
    </row>
    <row r="22" spans="2:4" ht="24.75" customHeight="1">
      <c r="C22" s="55"/>
      <c r="D22" s="87"/>
    </row>
    <row r="23" spans="2:4" ht="24.75" customHeight="1">
      <c r="C23" s="55"/>
      <c r="D23" s="87"/>
    </row>
    <row r="24" spans="2:4" ht="24.75" customHeight="1">
      <c r="C24" s="55"/>
      <c r="D24" s="87"/>
    </row>
    <row r="25" spans="2:4" ht="24.75" customHeight="1">
      <c r="C25" s="55"/>
      <c r="D25" s="87"/>
    </row>
    <row r="26" spans="2:4" ht="24.75" customHeight="1">
      <c r="C26" s="55"/>
      <c r="D26" s="87"/>
    </row>
    <row r="27" spans="2:4" ht="24.75" customHeight="1">
      <c r="C27" s="55"/>
      <c r="D27" s="87"/>
    </row>
    <row r="28" spans="2:4" ht="24.75" customHeight="1">
      <c r="C28" s="55"/>
      <c r="D28" s="87"/>
    </row>
    <row r="32" spans="2:4" ht="24.75" customHeight="1">
      <c r="B32" s="551" t="str">
        <f>+B3</f>
        <v>NOTA 10</v>
      </c>
      <c r="C32" s="551"/>
    </row>
    <row r="33" spans="2:3" ht="24.75" customHeight="1">
      <c r="B33" s="551" t="str">
        <f>+B4</f>
        <v>Cédula de detalle de cuentas</v>
      </c>
      <c r="C33" s="551"/>
    </row>
    <row r="34" spans="2:3" ht="24.75" customHeight="1">
      <c r="B34" s="551" t="s">
        <v>137</v>
      </c>
      <c r="C34" s="551"/>
    </row>
    <row r="35" spans="2:3" ht="24.75" customHeight="1">
      <c r="B35" s="563">
        <v>45688</v>
      </c>
      <c r="C35" s="563"/>
    </row>
    <row r="36" spans="2:3" ht="24.75" customHeight="1" thickBot="1"/>
    <row r="37" spans="2:3" ht="24.75" customHeight="1" thickBot="1">
      <c r="B37" s="492" t="s">
        <v>268</v>
      </c>
      <c r="C37" s="493" t="s">
        <v>287</v>
      </c>
    </row>
    <row r="38" spans="2:3" ht="30" customHeight="1">
      <c r="B38" s="288" t="s">
        <v>323</v>
      </c>
      <c r="C38" s="370">
        <v>653990.1</v>
      </c>
    </row>
    <row r="39" spans="2:3" ht="30" hidden="1" customHeight="1">
      <c r="B39" s="288" t="s">
        <v>659</v>
      </c>
      <c r="C39" s="74"/>
    </row>
    <row r="40" spans="2:3" ht="30" hidden="1" customHeight="1">
      <c r="B40" s="288" t="s">
        <v>660</v>
      </c>
      <c r="C40" s="370"/>
    </row>
    <row r="41" spans="2:3" ht="29.25" customHeight="1">
      <c r="B41" s="349" t="s">
        <v>587</v>
      </c>
      <c r="C41" s="291">
        <f>SUM(C38:C40)</f>
        <v>653990.1</v>
      </c>
    </row>
    <row r="42" spans="2:3" ht="24.75" customHeight="1" thickBot="1">
      <c r="B42" s="83"/>
      <c r="C42" s="159"/>
    </row>
    <row r="43" spans="2:3" ht="24.75" customHeight="1">
      <c r="B43" s="524"/>
      <c r="C43" s="18"/>
    </row>
  </sheetData>
  <mergeCells count="8">
    <mergeCell ref="B32:C32"/>
    <mergeCell ref="B33:C33"/>
    <mergeCell ref="B34:C34"/>
    <mergeCell ref="B35:C35"/>
    <mergeCell ref="B3:C3"/>
    <mergeCell ref="B4:C4"/>
    <mergeCell ref="B5:C5"/>
    <mergeCell ref="B6:C6"/>
  </mergeCells>
  <pageMargins left="0.53" right="0.31496062992125984" top="0.74803149606299213" bottom="0.74803149606299213" header="0.31496062992125984" footer="0.31496062992125984"/>
  <pageSetup scale="94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60"/>
  <sheetViews>
    <sheetView view="pageBreakPreview" topLeftCell="A7" zoomScale="90" zoomScaleNormal="100" zoomScaleSheetLayoutView="90" workbookViewId="0">
      <selection activeCell="D16" sqref="D16"/>
    </sheetView>
  </sheetViews>
  <sheetFormatPr baseColWidth="10" defaultColWidth="9.109375" defaultRowHeight="24.75" customHeight="1"/>
  <cols>
    <col min="1" max="1" width="57.5546875" style="1" customWidth="1"/>
    <col min="2" max="2" width="21.33203125" style="1" customWidth="1"/>
    <col min="3" max="3" width="23.6640625" style="1" bestFit="1" customWidth="1"/>
    <col min="4" max="4" width="17.33203125" style="7" bestFit="1" customWidth="1"/>
    <col min="5" max="5" width="9.109375" style="7"/>
    <col min="6" max="16384" width="9.109375" style="1"/>
  </cols>
  <sheetData>
    <row r="1" spans="1:3" ht="24.75" customHeight="1">
      <c r="B1" s="2"/>
    </row>
    <row r="2" spans="1:3" ht="24.75" customHeight="1">
      <c r="B2" s="356"/>
    </row>
    <row r="3" spans="1:3" ht="24.75" customHeight="1">
      <c r="A3" s="551" t="s">
        <v>661</v>
      </c>
      <c r="B3" s="551"/>
    </row>
    <row r="4" spans="1:3" ht="24.75" customHeight="1">
      <c r="A4" s="551" t="s">
        <v>284</v>
      </c>
      <c r="B4" s="551"/>
    </row>
    <row r="5" spans="1:3" ht="24.75" customHeight="1">
      <c r="A5" s="551" t="s">
        <v>26</v>
      </c>
      <c r="B5" s="551"/>
    </row>
    <row r="6" spans="1:3" ht="24.75" customHeight="1">
      <c r="A6" s="563">
        <v>45688</v>
      </c>
      <c r="B6" s="563"/>
    </row>
    <row r="7" spans="1:3" ht="24.75" customHeight="1" thickBot="1">
      <c r="A7" s="68"/>
      <c r="B7" s="233"/>
    </row>
    <row r="8" spans="1:3" ht="24.75" customHeight="1" thickBot="1">
      <c r="A8" s="70" t="s">
        <v>268</v>
      </c>
      <c r="B8" s="72" t="s">
        <v>287</v>
      </c>
    </row>
    <row r="9" spans="1:3" ht="24.75" customHeight="1">
      <c r="A9" s="231" t="s">
        <v>662</v>
      </c>
      <c r="B9" s="234">
        <v>480314.28</v>
      </c>
    </row>
    <row r="10" spans="1:3" ht="24.75" customHeight="1">
      <c r="A10" s="75" t="s">
        <v>663</v>
      </c>
      <c r="B10" s="234">
        <v>4158693.44</v>
      </c>
    </row>
    <row r="11" spans="1:3" ht="15.75" hidden="1" customHeight="1">
      <c r="A11" s="75" t="s">
        <v>664</v>
      </c>
      <c r="B11" s="234">
        <v>0</v>
      </c>
    </row>
    <row r="12" spans="1:3" ht="24.75" customHeight="1">
      <c r="A12" s="75" t="s">
        <v>665</v>
      </c>
      <c r="B12" s="235">
        <v>3112241.01</v>
      </c>
    </row>
    <row r="13" spans="1:3" ht="24.75" customHeight="1">
      <c r="A13" s="75" t="s">
        <v>666</v>
      </c>
      <c r="B13" s="236">
        <v>812281.67</v>
      </c>
      <c r="C13" s="2"/>
    </row>
    <row r="14" spans="1:3" ht="24.75" customHeight="1">
      <c r="A14" s="294" t="s">
        <v>305</v>
      </c>
      <c r="B14" s="82">
        <f>SUM(B9:B13)</f>
        <v>8563530.4000000004</v>
      </c>
      <c r="C14" s="2"/>
    </row>
    <row r="15" spans="1:3" ht="24.75" customHeight="1" thickBot="1">
      <c r="A15" s="237"/>
      <c r="B15" s="85"/>
      <c r="C15" s="2"/>
    </row>
    <row r="16" spans="1:3" ht="24.75" customHeight="1">
      <c r="B16" s="2"/>
      <c r="C16" s="2"/>
    </row>
    <row r="17" spans="1:3" ht="24.75" customHeight="1">
      <c r="B17" s="2">
        <f>+B14-'A-SITUACION ANEXOS'!D143</f>
        <v>0</v>
      </c>
      <c r="C17" s="2"/>
    </row>
    <row r="18" spans="1:3" ht="24.75" customHeight="1">
      <c r="B18" s="2"/>
    </row>
    <row r="19" spans="1:3" ht="24.75" customHeight="1">
      <c r="B19" s="2"/>
    </row>
    <row r="20" spans="1:3" ht="24.75" customHeight="1">
      <c r="B20" s="2"/>
    </row>
    <row r="21" spans="1:3" ht="24.75" customHeight="1">
      <c r="B21" s="2"/>
    </row>
    <row r="22" spans="1:3" ht="24.75" customHeight="1">
      <c r="B22" s="2"/>
    </row>
    <row r="23" spans="1:3" ht="24.75" customHeight="1">
      <c r="B23" s="2"/>
    </row>
    <row r="24" spans="1:3" ht="24.75" customHeight="1">
      <c r="B24" s="2"/>
    </row>
    <row r="25" spans="1:3" ht="24.75" customHeight="1">
      <c r="B25" s="2"/>
    </row>
    <row r="26" spans="1:3" ht="24.75" customHeight="1">
      <c r="B26" s="2"/>
    </row>
    <row r="27" spans="1:3" ht="24.75" customHeight="1">
      <c r="A27" s="15"/>
      <c r="B27" s="15"/>
    </row>
    <row r="28" spans="1:3" ht="24.75" customHeight="1">
      <c r="A28" s="15"/>
      <c r="B28" s="15"/>
    </row>
    <row r="29" spans="1:3" ht="24.75" customHeight="1">
      <c r="A29" s="15"/>
      <c r="B29" s="15"/>
    </row>
    <row r="30" spans="1:3" ht="24.75" customHeight="1">
      <c r="A30" s="15"/>
      <c r="B30" s="15"/>
    </row>
    <row r="31" spans="1:3" ht="24.75" customHeight="1">
      <c r="A31" s="15"/>
      <c r="B31" s="15"/>
    </row>
    <row r="32" spans="1:3" ht="24.75" customHeight="1">
      <c r="A32" s="15"/>
      <c r="B32" s="15"/>
    </row>
    <row r="33" spans="1:3" ht="24.75" customHeight="1">
      <c r="A33" s="15"/>
      <c r="B33" s="15"/>
    </row>
    <row r="34" spans="1:3" ht="24.75" customHeight="1">
      <c r="A34" s="551" t="str">
        <f>+A3</f>
        <v>NOTA 11</v>
      </c>
      <c r="B34" s="551"/>
    </row>
    <row r="35" spans="1:3" ht="24.75" customHeight="1">
      <c r="A35" s="551" t="str">
        <f>+A4</f>
        <v>Cédula de detalle de cuentas</v>
      </c>
      <c r="B35" s="551"/>
      <c r="C35" s="239"/>
    </row>
    <row r="36" spans="1:3" ht="24.75" customHeight="1">
      <c r="A36" s="551" t="s">
        <v>667</v>
      </c>
      <c r="B36" s="551"/>
    </row>
    <row r="37" spans="1:3" ht="24.75" customHeight="1">
      <c r="A37" s="563">
        <v>45688</v>
      </c>
      <c r="B37" s="563"/>
    </row>
    <row r="38" spans="1:3" ht="24.75" customHeight="1" thickBot="1">
      <c r="A38" s="68"/>
      <c r="B38" s="47"/>
    </row>
    <row r="39" spans="1:3" ht="24.75" customHeight="1" thickBot="1">
      <c r="A39" s="70" t="s">
        <v>268</v>
      </c>
      <c r="B39" s="72" t="s">
        <v>287</v>
      </c>
    </row>
    <row r="40" spans="1:3" ht="24.75" customHeight="1">
      <c r="A40" s="73" t="s">
        <v>668</v>
      </c>
      <c r="B40" s="444">
        <v>33029.279999999999</v>
      </c>
    </row>
    <row r="41" spans="1:3" ht="40.5" customHeight="1">
      <c r="A41" s="298" t="s">
        <v>669</v>
      </c>
      <c r="B41" s="444">
        <v>7600</v>
      </c>
    </row>
    <row r="42" spans="1:3" ht="40.5" hidden="1" customHeight="1">
      <c r="A42" s="298" t="s">
        <v>670</v>
      </c>
      <c r="B42" s="444"/>
    </row>
    <row r="43" spans="1:3" ht="33.75" customHeight="1">
      <c r="A43" s="298" t="s">
        <v>671</v>
      </c>
      <c r="B43" s="444">
        <v>50960</v>
      </c>
    </row>
    <row r="44" spans="1:3" ht="33.75" hidden="1" customHeight="1">
      <c r="A44" s="298" t="s">
        <v>672</v>
      </c>
      <c r="B44" s="444">
        <v>0</v>
      </c>
    </row>
    <row r="45" spans="1:3" ht="36.75" customHeight="1">
      <c r="A45" s="298" t="s">
        <v>673</v>
      </c>
      <c r="B45" s="445">
        <v>388725</v>
      </c>
    </row>
    <row r="46" spans="1:3" ht="24.75" customHeight="1">
      <c r="A46" s="75"/>
      <c r="B46" s="291">
        <f>SUM(B40:B45)</f>
        <v>480314.28</v>
      </c>
    </row>
    <row r="47" spans="1:3" ht="24.75" customHeight="1" thickBot="1">
      <c r="A47" s="83"/>
      <c r="B47" s="240">
        <f>+B9-B46</f>
        <v>0</v>
      </c>
    </row>
    <row r="48" spans="1:3" ht="24.75" customHeight="1">
      <c r="B48" s="2"/>
    </row>
    <row r="49" spans="2:2" ht="24.75" customHeight="1">
      <c r="B49" s="2"/>
    </row>
    <row r="50" spans="2:2" ht="24.75" customHeight="1">
      <c r="B50" s="2"/>
    </row>
    <row r="51" spans="2:2" ht="24.75" customHeight="1">
      <c r="B51" s="2"/>
    </row>
    <row r="52" spans="2:2" ht="24.75" customHeight="1">
      <c r="B52" s="2"/>
    </row>
    <row r="53" spans="2:2" ht="24.75" customHeight="1">
      <c r="B53" s="2"/>
    </row>
    <row r="54" spans="2:2" ht="24.75" customHeight="1">
      <c r="B54" s="2"/>
    </row>
    <row r="55" spans="2:2" ht="24.75" customHeight="1">
      <c r="B55" s="2"/>
    </row>
    <row r="56" spans="2:2" ht="24.75" customHeight="1">
      <c r="B56" s="2"/>
    </row>
    <row r="57" spans="2:2" ht="24.75" customHeight="1">
      <c r="B57" s="2"/>
    </row>
    <row r="58" spans="2:2" ht="24.75" customHeight="1">
      <c r="B58" s="2"/>
    </row>
    <row r="59" spans="2:2" ht="24.75" customHeight="1">
      <c r="B59" s="2"/>
    </row>
    <row r="60" spans="2:2" ht="24.75" customHeight="1">
      <c r="B60" s="2"/>
    </row>
  </sheetData>
  <mergeCells count="8">
    <mergeCell ref="A36:B36"/>
    <mergeCell ref="A37:B37"/>
    <mergeCell ref="A35:B35"/>
    <mergeCell ref="A3:B3"/>
    <mergeCell ref="A4:B4"/>
    <mergeCell ref="A5:B5"/>
    <mergeCell ref="A6:B6"/>
    <mergeCell ref="A34:B34"/>
  </mergeCells>
  <phoneticPr fontId="43" type="noConversion"/>
  <printOptions horizontalCentered="1"/>
  <pageMargins left="0.51181102362204722" right="0.31496062992125984" top="0.74803149606299213" bottom="0.74803149606299213" header="0.31496062992125984" footer="0.31496062992125984"/>
  <pageSetup scale="94" orientation="portrait" r:id="rId1"/>
  <rowBreaks count="1" manualBreakCount="1">
    <brk id="60" max="2" man="1"/>
  </rowBreak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5:O53"/>
  <sheetViews>
    <sheetView workbookViewId="0">
      <selection activeCell="L17" sqref="L17"/>
    </sheetView>
  </sheetViews>
  <sheetFormatPr baseColWidth="10" defaultColWidth="11.44140625" defaultRowHeight="15.6"/>
  <cols>
    <col min="1" max="1" width="4.88671875" style="1" customWidth="1"/>
    <col min="2" max="2" width="41" style="1" bestFit="1" customWidth="1"/>
    <col min="3" max="3" width="19.33203125" style="1" bestFit="1" customWidth="1"/>
    <col min="4" max="4" width="24.109375" style="1" bestFit="1" customWidth="1"/>
    <col min="5" max="5" width="17.33203125" style="1" bestFit="1" customWidth="1"/>
    <col min="6" max="9" width="11.44140625" style="1"/>
    <col min="10" max="10" width="16" style="1" bestFit="1" customWidth="1"/>
    <col min="11" max="11" width="15.88671875" style="1" bestFit="1" customWidth="1"/>
    <col min="12" max="12" width="16" style="1" bestFit="1" customWidth="1"/>
    <col min="13" max="13" width="15.6640625" style="1" bestFit="1" customWidth="1"/>
    <col min="14" max="14" width="15.88671875" style="1" bestFit="1" customWidth="1"/>
    <col min="15" max="16384" width="11.44140625" style="1"/>
  </cols>
  <sheetData>
    <row r="5" spans="1:4" s="46" customFormat="1" ht="18.600000000000001">
      <c r="A5" s="257" t="s">
        <v>674</v>
      </c>
    </row>
    <row r="6" spans="1:4" s="46" customFormat="1" ht="18.600000000000001">
      <c r="A6" s="46" t="s">
        <v>675</v>
      </c>
    </row>
    <row r="7" spans="1:4" ht="16.2" thickBot="1"/>
    <row r="8" spans="1:4" ht="22.5" customHeight="1" thickBot="1">
      <c r="A8" s="249" t="s">
        <v>676</v>
      </c>
      <c r="B8" s="273" t="s">
        <v>677</v>
      </c>
      <c r="C8" s="273" t="s">
        <v>678</v>
      </c>
      <c r="D8" s="274" t="s">
        <v>679</v>
      </c>
    </row>
    <row r="9" spans="1:4">
      <c r="A9" s="269">
        <v>1</v>
      </c>
      <c r="B9" s="270" t="s">
        <v>680</v>
      </c>
      <c r="C9" s="271">
        <v>8399520</v>
      </c>
      <c r="D9" s="272">
        <v>8399520</v>
      </c>
    </row>
    <row r="10" spans="1:4">
      <c r="A10" s="140">
        <v>2</v>
      </c>
      <c r="B10" s="140" t="s">
        <v>681</v>
      </c>
      <c r="C10" s="263">
        <v>35000</v>
      </c>
      <c r="D10" s="262">
        <v>35000</v>
      </c>
    </row>
    <row r="11" spans="1:4">
      <c r="A11" s="261">
        <v>3</v>
      </c>
      <c r="B11" s="140" t="s">
        <v>682</v>
      </c>
      <c r="C11" s="263">
        <v>740000</v>
      </c>
      <c r="D11" s="262">
        <v>740000</v>
      </c>
    </row>
    <row r="12" spans="1:4">
      <c r="A12" s="140">
        <v>4</v>
      </c>
      <c r="B12" s="140" t="s">
        <v>683</v>
      </c>
      <c r="C12" s="263">
        <v>610000</v>
      </c>
      <c r="D12" s="262">
        <v>610000</v>
      </c>
    </row>
    <row r="13" spans="1:4">
      <c r="A13" s="261">
        <v>5</v>
      </c>
      <c r="B13" s="140" t="s">
        <v>684</v>
      </c>
      <c r="C13" s="263">
        <v>9747380</v>
      </c>
      <c r="D13" s="262">
        <v>9747380</v>
      </c>
    </row>
    <row r="14" spans="1:4">
      <c r="A14" s="140">
        <v>6</v>
      </c>
      <c r="B14" s="140" t="s">
        <v>685</v>
      </c>
      <c r="C14" s="263">
        <v>1247700</v>
      </c>
      <c r="D14" s="262">
        <v>1247700</v>
      </c>
    </row>
    <row r="15" spans="1:4">
      <c r="A15" s="261">
        <v>7</v>
      </c>
      <c r="B15" s="140" t="s">
        <v>686</v>
      </c>
      <c r="C15" s="263">
        <v>8399520</v>
      </c>
      <c r="D15" s="262">
        <v>25198560</v>
      </c>
    </row>
    <row r="16" spans="1:4">
      <c r="A16" s="140">
        <v>8</v>
      </c>
      <c r="B16" s="264" t="s">
        <v>687</v>
      </c>
      <c r="C16" s="263">
        <v>870000</v>
      </c>
      <c r="D16" s="262">
        <v>2610000</v>
      </c>
    </row>
    <row r="17" spans="1:15">
      <c r="A17" s="261">
        <v>9</v>
      </c>
      <c r="B17" s="140" t="s">
        <v>688</v>
      </c>
      <c r="C17" s="263">
        <v>477860</v>
      </c>
      <c r="D17" s="262">
        <v>1433580</v>
      </c>
    </row>
    <row r="18" spans="1:15" ht="16.2">
      <c r="A18" s="140"/>
      <c r="B18" s="244" t="s">
        <v>689</v>
      </c>
      <c r="C18" s="244"/>
      <c r="D18" s="265">
        <f>SUM(D9:D17)</f>
        <v>50021740</v>
      </c>
    </row>
    <row r="19" spans="1:15">
      <c r="A19" s="140"/>
      <c r="B19" s="115"/>
      <c r="C19" s="115"/>
      <c r="D19" s="115"/>
    </row>
    <row r="20" spans="1:15">
      <c r="A20" s="140"/>
      <c r="B20" s="115"/>
      <c r="C20" s="141" t="s">
        <v>690</v>
      </c>
      <c r="D20" s="260" t="s">
        <v>691</v>
      </c>
    </row>
    <row r="21" spans="1:15" ht="18">
      <c r="A21" s="140"/>
      <c r="B21" s="266" t="s">
        <v>692</v>
      </c>
      <c r="C21" s="267"/>
      <c r="D21" s="268">
        <f>+D18/12</f>
        <v>4168478.3333333335</v>
      </c>
    </row>
    <row r="22" spans="1:15">
      <c r="A22" s="140"/>
      <c r="B22" s="115"/>
      <c r="C22" s="115"/>
      <c r="D22" s="115"/>
    </row>
    <row r="23" spans="1:15">
      <c r="A23" s="65"/>
      <c r="J23" s="2"/>
      <c r="K23" s="2"/>
      <c r="L23" s="2"/>
      <c r="M23" s="2"/>
      <c r="N23" s="2"/>
      <c r="O23" s="2"/>
    </row>
    <row r="24" spans="1:15">
      <c r="A24" s="65"/>
      <c r="J24" s="2"/>
      <c r="K24" s="2"/>
      <c r="L24" s="2"/>
      <c r="M24" s="2"/>
      <c r="N24" s="2"/>
      <c r="O24" s="2"/>
    </row>
    <row r="25" spans="1:15">
      <c r="A25" s="65"/>
      <c r="B25" s="1" t="s">
        <v>693</v>
      </c>
      <c r="C25" s="53">
        <f>+D21</f>
        <v>4168478.3333333335</v>
      </c>
      <c r="J25" s="2"/>
      <c r="K25" s="2"/>
      <c r="L25" s="2"/>
      <c r="M25" s="2"/>
      <c r="N25" s="2"/>
      <c r="O25" s="2"/>
    </row>
    <row r="26" spans="1:15">
      <c r="A26" s="65"/>
      <c r="B26" s="65" t="s">
        <v>694</v>
      </c>
      <c r="C26" s="53">
        <v>932346.72</v>
      </c>
      <c r="J26" s="2"/>
      <c r="K26" s="2"/>
      <c r="L26" s="2"/>
      <c r="M26" s="2"/>
      <c r="N26" s="2"/>
      <c r="O26" s="2"/>
    </row>
    <row r="27" spans="1:15" ht="16.8" thickBot="1">
      <c r="A27" s="65"/>
      <c r="B27" s="134" t="s">
        <v>695</v>
      </c>
      <c r="C27" s="518">
        <f>+C25-C26</f>
        <v>3236131.6133333333</v>
      </c>
      <c r="J27" s="2"/>
      <c r="K27" s="2"/>
      <c r="L27" s="2"/>
      <c r="M27" s="2"/>
      <c r="N27" s="2"/>
      <c r="O27" s="2"/>
    </row>
    <row r="28" spans="1:15" ht="16.2" thickTop="1">
      <c r="A28" s="65"/>
      <c r="J28" s="2"/>
      <c r="K28" s="2"/>
      <c r="L28" s="2"/>
      <c r="M28" s="2"/>
      <c r="N28" s="2"/>
      <c r="O28" s="2"/>
    </row>
    <row r="29" spans="1:15">
      <c r="A29" s="65"/>
      <c r="J29" s="2"/>
      <c r="K29" s="2"/>
      <c r="L29" s="2"/>
      <c r="M29" s="2"/>
      <c r="N29" s="2"/>
      <c r="O29" s="2"/>
    </row>
    <row r="30" spans="1:15">
      <c r="A30" s="65"/>
      <c r="J30" s="2"/>
      <c r="K30" s="2"/>
      <c r="L30" s="2"/>
      <c r="M30" s="2"/>
      <c r="N30" s="2"/>
      <c r="O30" s="2"/>
    </row>
    <row r="31" spans="1:15">
      <c r="B31" s="258"/>
      <c r="J31" s="2"/>
      <c r="K31" s="2"/>
      <c r="L31" s="2"/>
      <c r="M31" s="2"/>
      <c r="N31" s="2"/>
      <c r="O31" s="2"/>
    </row>
    <row r="32" spans="1:15" ht="16.2">
      <c r="B32" s="256" t="s">
        <v>696</v>
      </c>
      <c r="C32" s="256" t="s">
        <v>305</v>
      </c>
      <c r="J32" s="2"/>
      <c r="K32" s="2"/>
      <c r="L32" s="2"/>
      <c r="M32" s="2"/>
      <c r="N32" s="2"/>
      <c r="O32" s="2"/>
    </row>
    <row r="33" spans="1:15">
      <c r="B33" s="1" t="s">
        <v>697</v>
      </c>
      <c r="C33" s="277">
        <f>+D21</f>
        <v>4168478.3333333335</v>
      </c>
      <c r="J33" s="2"/>
      <c r="K33" s="2"/>
      <c r="L33" s="2"/>
      <c r="M33" s="2"/>
      <c r="N33" s="2"/>
      <c r="O33" s="2"/>
    </row>
    <row r="34" spans="1:15" hidden="1">
      <c r="B34" s="1" t="s">
        <v>698</v>
      </c>
      <c r="C34" s="277"/>
      <c r="J34" s="2"/>
      <c r="K34" s="2"/>
      <c r="L34" s="2"/>
      <c r="M34" s="2"/>
      <c r="N34" s="2"/>
      <c r="O34" s="2"/>
    </row>
    <row r="35" spans="1:15" hidden="1">
      <c r="B35" s="1" t="s">
        <v>699</v>
      </c>
      <c r="C35" s="277"/>
      <c r="J35" s="2"/>
      <c r="K35" s="2"/>
      <c r="L35" s="2"/>
      <c r="M35" s="2"/>
      <c r="N35" s="2"/>
      <c r="O35" s="2"/>
    </row>
    <row r="36" spans="1:15" hidden="1">
      <c r="B36" s="1" t="s">
        <v>700</v>
      </c>
      <c r="C36" s="277"/>
      <c r="E36" s="2"/>
      <c r="J36" s="2"/>
      <c r="K36" s="2"/>
      <c r="L36" s="2"/>
      <c r="M36" s="2"/>
      <c r="N36" s="2"/>
      <c r="O36" s="2"/>
    </row>
    <row r="37" spans="1:15" hidden="1">
      <c r="B37" s="1" t="s">
        <v>701</v>
      </c>
      <c r="C37" s="277"/>
      <c r="E37" s="2"/>
      <c r="J37" s="2"/>
      <c r="K37" s="2"/>
      <c r="L37" s="2"/>
      <c r="M37" s="2"/>
      <c r="N37" s="2"/>
      <c r="O37" s="2"/>
    </row>
    <row r="38" spans="1:15" hidden="1">
      <c r="B38" s="1" t="s">
        <v>702</v>
      </c>
      <c r="C38" s="277"/>
      <c r="J38" s="2"/>
      <c r="K38" s="2"/>
      <c r="L38" s="2"/>
      <c r="M38" s="2"/>
      <c r="N38" s="2"/>
      <c r="O38" s="2"/>
    </row>
    <row r="39" spans="1:15" hidden="1">
      <c r="B39" s="1" t="s">
        <v>703</v>
      </c>
      <c r="C39" s="277"/>
      <c r="J39" s="2"/>
      <c r="K39" s="2"/>
      <c r="L39" s="2"/>
      <c r="M39" s="2"/>
      <c r="N39" s="2"/>
      <c r="O39" s="2"/>
    </row>
    <row r="40" spans="1:15" hidden="1">
      <c r="B40" s="1" t="s">
        <v>704</v>
      </c>
      <c r="C40" s="277"/>
      <c r="J40" s="2"/>
      <c r="K40" s="2"/>
      <c r="L40" s="2"/>
      <c r="M40" s="2"/>
      <c r="N40" s="2"/>
      <c r="O40" s="2"/>
    </row>
    <row r="41" spans="1:15" hidden="1">
      <c r="B41" s="1" t="s">
        <v>705</v>
      </c>
      <c r="C41" s="277"/>
      <c r="J41" s="2"/>
      <c r="K41" s="2"/>
      <c r="L41" s="2"/>
      <c r="M41" s="2"/>
      <c r="N41" s="2"/>
      <c r="O41" s="2"/>
    </row>
    <row r="42" spans="1:15" hidden="1">
      <c r="B42" s="1" t="s">
        <v>706</v>
      </c>
      <c r="C42" s="277"/>
      <c r="J42" s="2"/>
      <c r="K42" s="2"/>
      <c r="L42" s="2"/>
      <c r="M42" s="2"/>
      <c r="N42" s="2"/>
      <c r="O42" s="2"/>
    </row>
    <row r="43" spans="1:15" hidden="1">
      <c r="B43" s="1" t="s">
        <v>707</v>
      </c>
      <c r="C43" s="277"/>
      <c r="J43" s="2"/>
      <c r="K43" s="2"/>
      <c r="L43" s="2"/>
      <c r="M43" s="2"/>
      <c r="N43" s="2"/>
      <c r="O43" s="2"/>
    </row>
    <row r="44" spans="1:15" hidden="1">
      <c r="B44" s="3" t="s">
        <v>708</v>
      </c>
      <c r="C44" s="341"/>
      <c r="J44" s="2"/>
      <c r="K44" s="2"/>
      <c r="L44" s="2"/>
      <c r="M44" s="2"/>
      <c r="N44" s="2"/>
      <c r="O44" s="2"/>
    </row>
    <row r="45" spans="1:15" ht="16.8" thickBot="1">
      <c r="B45" s="15" t="s">
        <v>709</v>
      </c>
      <c r="C45" s="259">
        <f>SUM(C33:C44)</f>
        <v>4168478.3333333335</v>
      </c>
      <c r="J45" s="2"/>
      <c r="K45" s="2"/>
      <c r="L45" s="2"/>
      <c r="M45" s="2"/>
      <c r="N45" s="2"/>
      <c r="O45" s="2"/>
    </row>
    <row r="46" spans="1:15" ht="16.2" thickTop="1">
      <c r="A46" s="65"/>
      <c r="J46" s="2"/>
      <c r="K46" s="2"/>
      <c r="L46" s="2"/>
      <c r="M46" s="2"/>
      <c r="N46" s="2"/>
      <c r="O46" s="2"/>
    </row>
    <row r="47" spans="1:15">
      <c r="A47" s="65"/>
      <c r="C47" s="18"/>
      <c r="J47" s="2"/>
      <c r="K47" s="2"/>
      <c r="L47" s="2"/>
      <c r="M47" s="2"/>
      <c r="N47" s="2"/>
      <c r="O47" s="2"/>
    </row>
    <row r="53" spans="5:5">
      <c r="E53" s="18"/>
    </row>
  </sheetData>
  <phoneticPr fontId="43" type="noConversion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3:W94"/>
  <sheetViews>
    <sheetView view="pageBreakPreview" zoomScale="70" zoomScaleNormal="100" zoomScaleSheetLayoutView="70" workbookViewId="0">
      <selection activeCell="L17" sqref="L17"/>
    </sheetView>
  </sheetViews>
  <sheetFormatPr baseColWidth="10" defaultColWidth="11.44140625" defaultRowHeight="13.2"/>
  <cols>
    <col min="2" max="2" width="44.88671875" customWidth="1"/>
    <col min="10" max="20" width="0" hidden="1" customWidth="1"/>
    <col min="21" max="21" width="19.44140625" customWidth="1"/>
    <col min="22" max="22" width="21" bestFit="1" customWidth="1"/>
    <col min="23" max="23" width="17.109375" bestFit="1" customWidth="1"/>
  </cols>
  <sheetData>
    <row r="3" spans="1:23" ht="33" customHeight="1"/>
    <row r="4" spans="1:23" ht="21">
      <c r="B4" s="516" t="s">
        <v>710</v>
      </c>
    </row>
    <row r="5" spans="1:23" ht="21">
      <c r="B5" s="516" t="s">
        <v>711</v>
      </c>
    </row>
    <row r="7" spans="1:23" s="511" customFormat="1" ht="57.75" customHeight="1">
      <c r="A7" s="510" t="s">
        <v>387</v>
      </c>
      <c r="B7" s="513" t="s">
        <v>712</v>
      </c>
      <c r="C7" s="513" t="s">
        <v>713</v>
      </c>
      <c r="D7" s="513" t="s">
        <v>390</v>
      </c>
      <c r="E7" s="513" t="s">
        <v>714</v>
      </c>
      <c r="F7" s="513" t="s">
        <v>715</v>
      </c>
      <c r="G7" s="513" t="s">
        <v>716</v>
      </c>
      <c r="H7" s="513" t="s">
        <v>717</v>
      </c>
      <c r="I7" s="513" t="s">
        <v>718</v>
      </c>
      <c r="J7" s="513" t="s">
        <v>698</v>
      </c>
      <c r="K7" s="513" t="s">
        <v>699</v>
      </c>
      <c r="L7" s="513" t="s">
        <v>700</v>
      </c>
      <c r="M7" s="513" t="s">
        <v>701</v>
      </c>
      <c r="N7" s="513" t="s">
        <v>702</v>
      </c>
      <c r="O7" s="513" t="s">
        <v>703</v>
      </c>
      <c r="P7" s="513" t="s">
        <v>704</v>
      </c>
      <c r="Q7" s="513" t="s">
        <v>705</v>
      </c>
      <c r="R7" s="513" t="s">
        <v>706</v>
      </c>
      <c r="S7" s="513" t="s">
        <v>707</v>
      </c>
      <c r="T7" s="513" t="s">
        <v>719</v>
      </c>
      <c r="U7" s="513" t="s">
        <v>720</v>
      </c>
      <c r="V7" s="513" t="s">
        <v>721</v>
      </c>
      <c r="W7" s="513" t="s">
        <v>722</v>
      </c>
    </row>
    <row r="8" spans="1:23" ht="26.25" customHeight="1">
      <c r="A8" s="508">
        <v>1</v>
      </c>
      <c r="B8" s="508" t="s">
        <v>723</v>
      </c>
      <c r="C8" s="508">
        <v>10</v>
      </c>
      <c r="D8" s="508" t="s">
        <v>724</v>
      </c>
      <c r="E8" s="508">
        <v>132000</v>
      </c>
      <c r="F8" s="508">
        <v>6091.3705583756337</v>
      </c>
      <c r="G8" s="508">
        <v>30</v>
      </c>
      <c r="H8" s="508">
        <v>40</v>
      </c>
      <c r="I8" s="508">
        <v>2</v>
      </c>
      <c r="J8" s="508"/>
      <c r="K8" s="508"/>
      <c r="L8" s="508"/>
      <c r="M8" s="508"/>
      <c r="N8" s="508"/>
      <c r="O8" s="508"/>
      <c r="P8" s="508"/>
      <c r="Q8" s="508"/>
      <c r="R8" s="508"/>
      <c r="S8" s="508"/>
      <c r="T8" s="508"/>
      <c r="U8" s="508">
        <v>38</v>
      </c>
      <c r="V8" s="509">
        <v>231472.08121827408</v>
      </c>
      <c r="W8" s="509">
        <v>12182.741116751267</v>
      </c>
    </row>
    <row r="9" spans="1:23" ht="26.25" customHeight="1">
      <c r="A9" s="508">
        <v>2</v>
      </c>
      <c r="B9" s="508" t="s">
        <v>725</v>
      </c>
      <c r="C9" s="508">
        <v>16</v>
      </c>
      <c r="D9" s="508" t="s">
        <v>726</v>
      </c>
      <c r="E9" s="508">
        <v>88000</v>
      </c>
      <c r="F9" s="508">
        <v>4060.9137055837559</v>
      </c>
      <c r="G9" s="508">
        <v>30</v>
      </c>
      <c r="H9" s="508">
        <v>46</v>
      </c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>
        <v>46</v>
      </c>
      <c r="V9" s="509">
        <v>186802.03045685278</v>
      </c>
      <c r="W9" s="509"/>
    </row>
    <row r="10" spans="1:23" ht="26.25" customHeight="1">
      <c r="A10" s="508">
        <v>3</v>
      </c>
      <c r="B10" s="508" t="s">
        <v>727</v>
      </c>
      <c r="C10" s="508">
        <v>0</v>
      </c>
      <c r="D10" s="508" t="s">
        <v>728</v>
      </c>
      <c r="E10" s="508">
        <v>120000</v>
      </c>
      <c r="F10" s="508">
        <v>5537.6095985233032</v>
      </c>
      <c r="G10" s="508">
        <v>25</v>
      </c>
      <c r="H10" s="508">
        <v>25</v>
      </c>
      <c r="I10" s="508"/>
      <c r="J10" s="508"/>
      <c r="K10" s="508"/>
      <c r="L10" s="508"/>
      <c r="M10" s="508"/>
      <c r="N10" s="508"/>
      <c r="O10" s="508"/>
      <c r="P10" s="508"/>
      <c r="Q10" s="508"/>
      <c r="R10" s="508"/>
      <c r="S10" s="508"/>
      <c r="T10" s="508"/>
      <c r="U10" s="508">
        <v>25</v>
      </c>
      <c r="V10" s="509">
        <v>138440.23996308257</v>
      </c>
      <c r="W10" s="509"/>
    </row>
    <row r="11" spans="1:23" ht="26.25" customHeight="1">
      <c r="A11" s="508">
        <v>4</v>
      </c>
      <c r="B11" s="508" t="s">
        <v>729</v>
      </c>
      <c r="C11" s="508">
        <v>4</v>
      </c>
      <c r="D11" s="508" t="s">
        <v>730</v>
      </c>
      <c r="E11" s="508">
        <v>66000</v>
      </c>
      <c r="F11" s="508">
        <v>3045.6852791878168</v>
      </c>
      <c r="G11" s="508">
        <v>20</v>
      </c>
      <c r="H11" s="508">
        <v>24</v>
      </c>
      <c r="I11" s="508">
        <v>3</v>
      </c>
      <c r="J11" s="508"/>
      <c r="K11" s="508"/>
      <c r="L11" s="508"/>
      <c r="M11" s="508"/>
      <c r="N11" s="508"/>
      <c r="O11" s="508"/>
      <c r="P11" s="508"/>
      <c r="Q11" s="508"/>
      <c r="R11" s="508"/>
      <c r="S11" s="508"/>
      <c r="T11" s="508"/>
      <c r="U11" s="508">
        <v>21</v>
      </c>
      <c r="V11" s="509">
        <v>63959.39086294415</v>
      </c>
      <c r="W11" s="509">
        <v>9137.05583756345</v>
      </c>
    </row>
    <row r="12" spans="1:23" ht="26.25" customHeight="1">
      <c r="A12" s="508">
        <v>5</v>
      </c>
      <c r="B12" s="508" t="s">
        <v>731</v>
      </c>
      <c r="C12" s="508">
        <v>15</v>
      </c>
      <c r="D12" s="508" t="s">
        <v>732</v>
      </c>
      <c r="E12" s="508">
        <v>110000</v>
      </c>
      <c r="F12" s="508">
        <v>5076.1421319796955</v>
      </c>
      <c r="G12" s="508">
        <v>15</v>
      </c>
      <c r="H12" s="508">
        <v>30</v>
      </c>
      <c r="I12" s="508"/>
      <c r="J12" s="508"/>
      <c r="K12" s="508"/>
      <c r="L12" s="508"/>
      <c r="M12" s="508"/>
      <c r="N12" s="508"/>
      <c r="O12" s="508"/>
      <c r="P12" s="508"/>
      <c r="Q12" s="508"/>
      <c r="R12" s="508"/>
      <c r="S12" s="508"/>
      <c r="T12" s="508"/>
      <c r="U12" s="508">
        <v>30</v>
      </c>
      <c r="V12" s="509">
        <v>152284.26395939087</v>
      </c>
      <c r="W12" s="509"/>
    </row>
    <row r="13" spans="1:23" ht="26.25" customHeight="1">
      <c r="A13" s="508">
        <v>6</v>
      </c>
      <c r="B13" s="508" t="s">
        <v>733</v>
      </c>
      <c r="C13" s="508">
        <v>25</v>
      </c>
      <c r="D13" s="508" t="s">
        <v>398</v>
      </c>
      <c r="E13" s="508">
        <v>132000</v>
      </c>
      <c r="F13" s="508">
        <v>6091.3705583756337</v>
      </c>
      <c r="G13" s="508">
        <v>30</v>
      </c>
      <c r="H13" s="508">
        <v>55</v>
      </c>
      <c r="I13" s="508"/>
      <c r="J13" s="508"/>
      <c r="K13" s="508"/>
      <c r="L13" s="508"/>
      <c r="M13" s="508"/>
      <c r="N13" s="508"/>
      <c r="O13" s="508"/>
      <c r="P13" s="508"/>
      <c r="Q13" s="508"/>
      <c r="R13" s="508"/>
      <c r="S13" s="508"/>
      <c r="T13" s="508"/>
      <c r="U13" s="508">
        <v>55</v>
      </c>
      <c r="V13" s="509">
        <v>335025.38071065984</v>
      </c>
      <c r="W13" s="509"/>
    </row>
    <row r="14" spans="1:23" ht="26.25" customHeight="1">
      <c r="A14" s="508">
        <v>7</v>
      </c>
      <c r="B14" s="508" t="s">
        <v>734</v>
      </c>
      <c r="C14" s="508">
        <v>14</v>
      </c>
      <c r="D14" s="508" t="s">
        <v>735</v>
      </c>
      <c r="E14" s="508">
        <v>24000</v>
      </c>
      <c r="F14" s="508">
        <v>1107.5219197046608</v>
      </c>
      <c r="G14" s="508">
        <v>30</v>
      </c>
      <c r="H14" s="508">
        <v>44</v>
      </c>
      <c r="I14" s="508"/>
      <c r="J14" s="508"/>
      <c r="K14" s="508"/>
      <c r="L14" s="508"/>
      <c r="M14" s="508"/>
      <c r="N14" s="508"/>
      <c r="O14" s="508"/>
      <c r="P14" s="508"/>
      <c r="Q14" s="508"/>
      <c r="R14" s="508"/>
      <c r="S14" s="508"/>
      <c r="T14" s="508"/>
      <c r="U14" s="508">
        <v>44</v>
      </c>
      <c r="V14" s="509">
        <v>48730.964467005077</v>
      </c>
      <c r="W14" s="509"/>
    </row>
    <row r="15" spans="1:23" ht="26.25" customHeight="1">
      <c r="A15" s="508">
        <v>8</v>
      </c>
      <c r="B15" s="508" t="s">
        <v>736</v>
      </c>
      <c r="C15" s="508">
        <v>0</v>
      </c>
      <c r="D15" s="508" t="s">
        <v>730</v>
      </c>
      <c r="E15" s="508">
        <v>66000</v>
      </c>
      <c r="F15" s="508">
        <v>3045.6852791878168</v>
      </c>
      <c r="G15" s="508">
        <v>20</v>
      </c>
      <c r="H15" s="508">
        <v>20</v>
      </c>
      <c r="I15" s="508"/>
      <c r="J15" s="508"/>
      <c r="K15" s="508"/>
      <c r="L15" s="508"/>
      <c r="M15" s="508"/>
      <c r="N15" s="508"/>
      <c r="O15" s="508"/>
      <c r="P15" s="508"/>
      <c r="Q15" s="508"/>
      <c r="R15" s="508"/>
      <c r="S15" s="508"/>
      <c r="T15" s="508"/>
      <c r="U15" s="508">
        <v>20</v>
      </c>
      <c r="V15" s="509">
        <v>60913.705583756338</v>
      </c>
      <c r="W15" s="509"/>
    </row>
    <row r="16" spans="1:23" ht="26.25" customHeight="1">
      <c r="A16" s="508">
        <v>9</v>
      </c>
      <c r="B16" s="508" t="s">
        <v>737</v>
      </c>
      <c r="C16" s="508">
        <v>0</v>
      </c>
      <c r="D16" s="508" t="s">
        <v>398</v>
      </c>
      <c r="E16" s="508">
        <v>132000</v>
      </c>
      <c r="F16" s="508">
        <v>6091.3705583756337</v>
      </c>
      <c r="G16" s="508">
        <v>25</v>
      </c>
      <c r="H16" s="508">
        <v>25</v>
      </c>
      <c r="I16" s="508"/>
      <c r="J16" s="508"/>
      <c r="K16" s="508"/>
      <c r="L16" s="508"/>
      <c r="M16" s="508"/>
      <c r="N16" s="508"/>
      <c r="O16" s="508"/>
      <c r="P16" s="508"/>
      <c r="Q16" s="508"/>
      <c r="R16" s="508"/>
      <c r="S16" s="508"/>
      <c r="T16" s="508"/>
      <c r="U16" s="508">
        <v>25</v>
      </c>
      <c r="V16" s="509">
        <v>152284.26395939084</v>
      </c>
      <c r="W16" s="509"/>
    </row>
    <row r="17" spans="1:23" ht="26.25" customHeight="1">
      <c r="A17" s="508">
        <v>10</v>
      </c>
      <c r="B17" s="508" t="s">
        <v>738</v>
      </c>
      <c r="C17" s="508">
        <v>0</v>
      </c>
      <c r="D17" s="508" t="s">
        <v>735</v>
      </c>
      <c r="E17" s="508">
        <v>22000</v>
      </c>
      <c r="F17" s="508">
        <v>1015.228426395939</v>
      </c>
      <c r="G17" s="508">
        <v>15</v>
      </c>
      <c r="H17" s="508">
        <v>15</v>
      </c>
      <c r="I17" s="508"/>
      <c r="J17" s="508"/>
      <c r="K17" s="508"/>
      <c r="L17" s="508"/>
      <c r="M17" s="508"/>
      <c r="N17" s="508"/>
      <c r="O17" s="508"/>
      <c r="P17" s="508"/>
      <c r="Q17" s="508"/>
      <c r="R17" s="508"/>
      <c r="S17" s="508"/>
      <c r="T17" s="508"/>
      <c r="U17" s="508">
        <v>15</v>
      </c>
      <c r="V17" s="509">
        <v>15228.426395939085</v>
      </c>
      <c r="W17" s="509"/>
    </row>
    <row r="18" spans="1:23" ht="26.25" customHeight="1">
      <c r="A18" s="508">
        <v>11</v>
      </c>
      <c r="B18" s="508" t="s">
        <v>739</v>
      </c>
      <c r="C18" s="508">
        <v>7</v>
      </c>
      <c r="D18" s="508" t="s">
        <v>730</v>
      </c>
      <c r="E18" s="508">
        <v>66000</v>
      </c>
      <c r="F18" s="508">
        <v>3045.6852791878168</v>
      </c>
      <c r="G18" s="508">
        <v>15</v>
      </c>
      <c r="H18" s="508">
        <v>22</v>
      </c>
      <c r="I18" s="508"/>
      <c r="J18" s="508"/>
      <c r="K18" s="508"/>
      <c r="L18" s="508"/>
      <c r="M18" s="508"/>
      <c r="N18" s="508"/>
      <c r="O18" s="508"/>
      <c r="P18" s="508"/>
      <c r="Q18" s="508"/>
      <c r="R18" s="508"/>
      <c r="S18" s="508"/>
      <c r="T18" s="508"/>
      <c r="U18" s="508">
        <v>22</v>
      </c>
      <c r="V18" s="509">
        <v>67005.076142131977</v>
      </c>
      <c r="W18" s="509"/>
    </row>
    <row r="19" spans="1:23" ht="26.25" customHeight="1">
      <c r="A19" s="508">
        <v>12</v>
      </c>
      <c r="B19" s="508" t="s">
        <v>740</v>
      </c>
      <c r="C19" s="508">
        <v>10</v>
      </c>
      <c r="D19" s="508" t="s">
        <v>741</v>
      </c>
      <c r="E19" s="508">
        <v>95000</v>
      </c>
      <c r="F19" s="508">
        <v>4383.9409321642825</v>
      </c>
      <c r="G19" s="508">
        <v>15</v>
      </c>
      <c r="H19" s="508">
        <v>25</v>
      </c>
      <c r="I19" s="508"/>
      <c r="J19" s="508"/>
      <c r="K19" s="508"/>
      <c r="L19" s="508"/>
      <c r="M19" s="508"/>
      <c r="N19" s="508"/>
      <c r="O19" s="508"/>
      <c r="P19" s="508"/>
      <c r="Q19" s="508"/>
      <c r="R19" s="508"/>
      <c r="S19" s="508"/>
      <c r="T19" s="508"/>
      <c r="U19" s="508">
        <v>25</v>
      </c>
      <c r="V19" s="509">
        <v>109598.52330410706</v>
      </c>
      <c r="W19" s="509"/>
    </row>
    <row r="20" spans="1:23" ht="26.25" customHeight="1">
      <c r="A20" s="508">
        <v>13</v>
      </c>
      <c r="B20" s="508" t="s">
        <v>742</v>
      </c>
      <c r="C20" s="508">
        <v>25</v>
      </c>
      <c r="D20" s="508" t="s">
        <v>743</v>
      </c>
      <c r="E20" s="508">
        <v>85000</v>
      </c>
      <c r="F20" s="508">
        <v>3922.4734656206733</v>
      </c>
      <c r="G20" s="508">
        <v>30</v>
      </c>
      <c r="H20" s="508">
        <v>55</v>
      </c>
      <c r="I20" s="508"/>
      <c r="J20" s="508"/>
      <c r="K20" s="508"/>
      <c r="L20" s="508"/>
      <c r="M20" s="508"/>
      <c r="N20" s="508"/>
      <c r="O20" s="508"/>
      <c r="P20" s="508"/>
      <c r="Q20" s="508"/>
      <c r="R20" s="508"/>
      <c r="S20" s="508"/>
      <c r="T20" s="508"/>
      <c r="U20" s="508">
        <v>55</v>
      </c>
      <c r="V20" s="509">
        <v>215736.04060913704</v>
      </c>
      <c r="W20" s="509"/>
    </row>
    <row r="21" spans="1:23" ht="26.25" customHeight="1">
      <c r="A21" s="508">
        <v>14</v>
      </c>
      <c r="B21" s="508" t="s">
        <v>744</v>
      </c>
      <c r="C21" s="508">
        <v>0</v>
      </c>
      <c r="D21" s="508" t="s">
        <v>745</v>
      </c>
      <c r="E21" s="508">
        <v>27500</v>
      </c>
      <c r="F21" s="508">
        <v>1269.0355329949239</v>
      </c>
      <c r="G21" s="508">
        <v>15</v>
      </c>
      <c r="H21" s="508">
        <v>15</v>
      </c>
      <c r="I21" s="508"/>
      <c r="J21" s="508"/>
      <c r="K21" s="508"/>
      <c r="L21" s="508"/>
      <c r="M21" s="508"/>
      <c r="N21" s="508"/>
      <c r="O21" s="508"/>
      <c r="P21" s="508"/>
      <c r="Q21" s="508"/>
      <c r="R21" s="508"/>
      <c r="S21" s="508"/>
      <c r="T21" s="508"/>
      <c r="U21" s="508">
        <v>15</v>
      </c>
      <c r="V21" s="509">
        <v>19035.532994923858</v>
      </c>
      <c r="W21" s="509"/>
    </row>
    <row r="22" spans="1:23" ht="26.25" customHeight="1">
      <c r="A22" s="508">
        <v>15</v>
      </c>
      <c r="B22" s="508" t="s">
        <v>746</v>
      </c>
      <c r="C22" s="508">
        <v>20</v>
      </c>
      <c r="D22" s="508" t="s">
        <v>747</v>
      </c>
      <c r="E22" s="508">
        <v>95000</v>
      </c>
      <c r="F22" s="508">
        <v>4383.9409321642825</v>
      </c>
      <c r="G22" s="508">
        <v>20</v>
      </c>
      <c r="H22" s="508">
        <v>40</v>
      </c>
      <c r="I22" s="508"/>
      <c r="J22" s="508"/>
      <c r="K22" s="508"/>
      <c r="L22" s="508"/>
      <c r="M22" s="508"/>
      <c r="N22" s="508"/>
      <c r="O22" s="508"/>
      <c r="P22" s="508"/>
      <c r="Q22" s="508"/>
      <c r="R22" s="508"/>
      <c r="S22" s="508"/>
      <c r="T22" s="508"/>
      <c r="U22" s="508">
        <v>40</v>
      </c>
      <c r="V22" s="509">
        <v>175357.63728657129</v>
      </c>
      <c r="W22" s="509"/>
    </row>
    <row r="23" spans="1:23" ht="26.25" customHeight="1">
      <c r="A23" s="508">
        <v>16</v>
      </c>
      <c r="B23" s="508" t="s">
        <v>748</v>
      </c>
      <c r="C23" s="508">
        <v>0</v>
      </c>
      <c r="D23" s="508" t="s">
        <v>749</v>
      </c>
      <c r="E23" s="508">
        <v>99000</v>
      </c>
      <c r="F23" s="508">
        <v>4568.5279187817259</v>
      </c>
      <c r="G23" s="508">
        <v>30</v>
      </c>
      <c r="H23" s="508">
        <v>30</v>
      </c>
      <c r="I23" s="508"/>
      <c r="J23" s="508"/>
      <c r="K23" s="508"/>
      <c r="L23" s="508"/>
      <c r="M23" s="508"/>
      <c r="N23" s="508"/>
      <c r="O23" s="508"/>
      <c r="P23" s="508"/>
      <c r="Q23" s="508"/>
      <c r="R23" s="508"/>
      <c r="S23" s="508"/>
      <c r="T23" s="508"/>
      <c r="U23" s="508">
        <v>30</v>
      </c>
      <c r="V23" s="509">
        <v>137055.83756345179</v>
      </c>
      <c r="W23" s="509"/>
    </row>
    <row r="24" spans="1:23" ht="26.25" customHeight="1">
      <c r="A24" s="508">
        <v>17</v>
      </c>
      <c r="B24" s="508" t="s">
        <v>750</v>
      </c>
      <c r="C24" s="508">
        <v>4</v>
      </c>
      <c r="D24" s="508" t="s">
        <v>751</v>
      </c>
      <c r="E24" s="508">
        <v>33000</v>
      </c>
      <c r="F24" s="508">
        <v>1522.8426395939084</v>
      </c>
      <c r="G24" s="508">
        <v>15</v>
      </c>
      <c r="H24" s="508">
        <v>19</v>
      </c>
      <c r="I24" s="508"/>
      <c r="J24" s="508"/>
      <c r="K24" s="508"/>
      <c r="L24" s="508"/>
      <c r="M24" s="508"/>
      <c r="N24" s="508"/>
      <c r="O24" s="508"/>
      <c r="P24" s="508"/>
      <c r="Q24" s="508"/>
      <c r="R24" s="508"/>
      <c r="S24" s="508"/>
      <c r="T24" s="508"/>
      <c r="U24" s="508">
        <v>19</v>
      </c>
      <c r="V24" s="509">
        <v>28934.01015228426</v>
      </c>
      <c r="W24" s="509"/>
    </row>
    <row r="25" spans="1:23" ht="26.25" customHeight="1">
      <c r="A25" s="508">
        <v>18</v>
      </c>
      <c r="B25" s="508" t="s">
        <v>752</v>
      </c>
      <c r="C25" s="508">
        <v>20</v>
      </c>
      <c r="D25" s="508" t="s">
        <v>753</v>
      </c>
      <c r="E25" s="508">
        <v>49500</v>
      </c>
      <c r="F25" s="508">
        <v>2284.263959390863</v>
      </c>
      <c r="G25" s="508">
        <v>25</v>
      </c>
      <c r="H25" s="508">
        <v>45</v>
      </c>
      <c r="I25" s="508"/>
      <c r="J25" s="508"/>
      <c r="K25" s="508"/>
      <c r="L25" s="508"/>
      <c r="M25" s="508"/>
      <c r="N25" s="508"/>
      <c r="O25" s="508"/>
      <c r="P25" s="508"/>
      <c r="Q25" s="508"/>
      <c r="R25" s="508"/>
      <c r="S25" s="508"/>
      <c r="T25" s="508"/>
      <c r="U25" s="508">
        <v>45</v>
      </c>
      <c r="V25" s="509">
        <v>102791.87817258884</v>
      </c>
      <c r="W25" s="509"/>
    </row>
    <row r="26" spans="1:23" ht="26.25" customHeight="1">
      <c r="A26" s="508">
        <v>19</v>
      </c>
      <c r="B26" s="508" t="s">
        <v>754</v>
      </c>
      <c r="C26" s="508">
        <v>0</v>
      </c>
      <c r="D26" s="508" t="s">
        <v>745</v>
      </c>
      <c r="E26" s="508">
        <v>31500</v>
      </c>
      <c r="F26" s="508">
        <v>1453.6225196123671</v>
      </c>
      <c r="G26" s="508">
        <v>30</v>
      </c>
      <c r="H26" s="508">
        <v>30</v>
      </c>
      <c r="I26" s="508"/>
      <c r="J26" s="508"/>
      <c r="K26" s="508"/>
      <c r="L26" s="508"/>
      <c r="M26" s="508"/>
      <c r="N26" s="508"/>
      <c r="O26" s="508"/>
      <c r="P26" s="508"/>
      <c r="Q26" s="508"/>
      <c r="R26" s="508"/>
      <c r="S26" s="508"/>
      <c r="T26" s="508"/>
      <c r="U26" s="508">
        <v>30</v>
      </c>
      <c r="V26" s="509">
        <v>43608.675588371014</v>
      </c>
      <c r="W26" s="509"/>
    </row>
    <row r="27" spans="1:23" ht="26.25" customHeight="1">
      <c r="A27" s="508">
        <v>20</v>
      </c>
      <c r="B27" s="508" t="s">
        <v>755</v>
      </c>
      <c r="C27" s="508">
        <v>24</v>
      </c>
      <c r="D27" s="508" t="s">
        <v>756</v>
      </c>
      <c r="E27" s="508">
        <v>120000</v>
      </c>
      <c r="F27" s="508">
        <v>5537.6095985233032</v>
      </c>
      <c r="G27" s="508">
        <v>30</v>
      </c>
      <c r="H27" s="508">
        <v>54</v>
      </c>
      <c r="I27" s="508"/>
      <c r="J27" s="508"/>
      <c r="K27" s="508"/>
      <c r="L27" s="508"/>
      <c r="M27" s="508"/>
      <c r="N27" s="508"/>
      <c r="O27" s="508"/>
      <c r="P27" s="508"/>
      <c r="Q27" s="508"/>
      <c r="R27" s="508"/>
      <c r="S27" s="508"/>
      <c r="T27" s="508"/>
      <c r="U27" s="508">
        <v>54</v>
      </c>
      <c r="V27" s="509">
        <v>299030.91832025838</v>
      </c>
      <c r="W27" s="509"/>
    </row>
    <row r="28" spans="1:23" ht="26.25" customHeight="1">
      <c r="A28" s="508">
        <v>21</v>
      </c>
      <c r="B28" s="508" t="s">
        <v>757</v>
      </c>
      <c r="C28" s="508">
        <v>0</v>
      </c>
      <c r="D28" s="508" t="s">
        <v>751</v>
      </c>
      <c r="E28" s="508">
        <v>33000</v>
      </c>
      <c r="F28" s="508">
        <v>1522.8426395939084</v>
      </c>
      <c r="G28" s="508">
        <v>20</v>
      </c>
      <c r="H28" s="508">
        <v>20</v>
      </c>
      <c r="I28" s="508"/>
      <c r="J28" s="508"/>
      <c r="K28" s="508"/>
      <c r="L28" s="508"/>
      <c r="M28" s="508"/>
      <c r="N28" s="508"/>
      <c r="O28" s="508"/>
      <c r="P28" s="508"/>
      <c r="Q28" s="508"/>
      <c r="R28" s="508"/>
      <c r="S28" s="508"/>
      <c r="T28" s="508"/>
      <c r="U28" s="508">
        <v>20</v>
      </c>
      <c r="V28" s="509">
        <v>30456.852791878169</v>
      </c>
      <c r="W28" s="509"/>
    </row>
    <row r="29" spans="1:23" ht="26.25" customHeight="1">
      <c r="A29" s="508">
        <v>22</v>
      </c>
      <c r="B29" s="508" t="s">
        <v>758</v>
      </c>
      <c r="C29" s="508">
        <v>18</v>
      </c>
      <c r="D29" s="508" t="s">
        <v>759</v>
      </c>
      <c r="E29" s="508">
        <v>110000</v>
      </c>
      <c r="F29" s="508">
        <v>5076.1421319796955</v>
      </c>
      <c r="G29" s="508">
        <v>25</v>
      </c>
      <c r="H29" s="508">
        <v>43</v>
      </c>
      <c r="I29" s="508"/>
      <c r="J29" s="508"/>
      <c r="K29" s="508"/>
      <c r="L29" s="508"/>
      <c r="M29" s="508"/>
      <c r="N29" s="508"/>
      <c r="O29" s="508"/>
      <c r="P29" s="508"/>
      <c r="Q29" s="508"/>
      <c r="R29" s="508"/>
      <c r="S29" s="508"/>
      <c r="T29" s="508"/>
      <c r="U29" s="508">
        <v>43</v>
      </c>
      <c r="V29" s="509">
        <v>218274.11167512691</v>
      </c>
      <c r="W29" s="509"/>
    </row>
    <row r="30" spans="1:23" ht="26.25" customHeight="1">
      <c r="A30" s="508">
        <v>23</v>
      </c>
      <c r="B30" s="508" t="s">
        <v>760</v>
      </c>
      <c r="C30" s="508">
        <v>15</v>
      </c>
      <c r="D30" s="508" t="s">
        <v>761</v>
      </c>
      <c r="E30" s="508">
        <v>100000</v>
      </c>
      <c r="F30" s="508">
        <v>4614.6746654360868</v>
      </c>
      <c r="G30" s="508">
        <v>25</v>
      </c>
      <c r="H30" s="508">
        <v>40</v>
      </c>
      <c r="I30" s="508">
        <v>15</v>
      </c>
      <c r="J30" s="508"/>
      <c r="K30" s="508"/>
      <c r="L30" s="508"/>
      <c r="M30" s="508"/>
      <c r="N30" s="508"/>
      <c r="O30" s="508"/>
      <c r="P30" s="508"/>
      <c r="Q30" s="508"/>
      <c r="R30" s="508"/>
      <c r="S30" s="508"/>
      <c r="T30" s="508"/>
      <c r="U30" s="508">
        <v>25</v>
      </c>
      <c r="V30" s="509">
        <v>115366.86663590217</v>
      </c>
      <c r="W30" s="509">
        <v>69220.119981541298</v>
      </c>
    </row>
    <row r="31" spans="1:23" ht="26.25" customHeight="1">
      <c r="A31" s="508">
        <v>24</v>
      </c>
      <c r="B31" s="508" t="s">
        <v>762</v>
      </c>
      <c r="C31" s="508">
        <v>10</v>
      </c>
      <c r="D31" s="508" t="s">
        <v>735</v>
      </c>
      <c r="E31" s="508">
        <v>24000</v>
      </c>
      <c r="F31" s="508">
        <v>1107.5219197046608</v>
      </c>
      <c r="G31" s="508">
        <v>30</v>
      </c>
      <c r="H31" s="508">
        <v>40</v>
      </c>
      <c r="I31" s="508"/>
      <c r="J31" s="508"/>
      <c r="K31" s="508"/>
      <c r="L31" s="508"/>
      <c r="M31" s="508"/>
      <c r="N31" s="508"/>
      <c r="O31" s="508"/>
      <c r="P31" s="508"/>
      <c r="Q31" s="508"/>
      <c r="R31" s="508"/>
      <c r="S31" s="508"/>
      <c r="T31" s="508"/>
      <c r="U31" s="508">
        <v>40</v>
      </c>
      <c r="V31" s="509">
        <v>44300.876788186433</v>
      </c>
      <c r="W31" s="509"/>
    </row>
    <row r="32" spans="1:23" ht="26.25" customHeight="1">
      <c r="A32" s="508">
        <v>25</v>
      </c>
      <c r="B32" s="508" t="s">
        <v>763</v>
      </c>
      <c r="C32" s="508">
        <v>12</v>
      </c>
      <c r="D32" s="508" t="s">
        <v>724</v>
      </c>
      <c r="E32" s="508">
        <v>132000</v>
      </c>
      <c r="F32" s="508">
        <v>6091.3705583756337</v>
      </c>
      <c r="G32" s="508">
        <v>30</v>
      </c>
      <c r="H32" s="508">
        <v>42</v>
      </c>
      <c r="I32" s="508"/>
      <c r="J32" s="508"/>
      <c r="K32" s="508"/>
      <c r="L32" s="508"/>
      <c r="M32" s="508"/>
      <c r="N32" s="508"/>
      <c r="O32" s="508"/>
      <c r="P32" s="508"/>
      <c r="Q32" s="508"/>
      <c r="R32" s="508"/>
      <c r="S32" s="508"/>
      <c r="T32" s="508"/>
      <c r="U32" s="508">
        <v>42</v>
      </c>
      <c r="V32" s="509">
        <v>255837.5634517766</v>
      </c>
      <c r="W32" s="509"/>
    </row>
    <row r="33" spans="1:23" ht="26.25" customHeight="1">
      <c r="A33" s="508">
        <v>26</v>
      </c>
      <c r="B33" s="508" t="s">
        <v>764</v>
      </c>
      <c r="C33" s="508">
        <v>3</v>
      </c>
      <c r="D33" s="508" t="s">
        <v>398</v>
      </c>
      <c r="E33" s="508">
        <v>132000</v>
      </c>
      <c r="F33" s="508">
        <v>6091.3705583756337</v>
      </c>
      <c r="G33" s="508">
        <v>20</v>
      </c>
      <c r="H33" s="508">
        <v>23</v>
      </c>
      <c r="I33" s="508">
        <v>3</v>
      </c>
      <c r="J33" s="508"/>
      <c r="K33" s="508"/>
      <c r="L33" s="508"/>
      <c r="M33" s="508"/>
      <c r="N33" s="508"/>
      <c r="O33" s="508"/>
      <c r="P33" s="508"/>
      <c r="Q33" s="508"/>
      <c r="R33" s="508"/>
      <c r="S33" s="508"/>
      <c r="T33" s="508"/>
      <c r="U33" s="508">
        <v>20</v>
      </c>
      <c r="V33" s="509">
        <v>121827.41116751268</v>
      </c>
      <c r="W33" s="509">
        <v>18274.1116751269</v>
      </c>
    </row>
    <row r="34" spans="1:23" ht="26.25" customHeight="1">
      <c r="A34" s="508">
        <v>27</v>
      </c>
      <c r="B34" s="508" t="s">
        <v>765</v>
      </c>
      <c r="C34" s="508">
        <v>15</v>
      </c>
      <c r="D34" s="508" t="s">
        <v>745</v>
      </c>
      <c r="E34" s="508">
        <v>27500</v>
      </c>
      <c r="F34" s="508">
        <v>1269.0355329949239</v>
      </c>
      <c r="G34" s="508">
        <v>15</v>
      </c>
      <c r="H34" s="508">
        <v>30</v>
      </c>
      <c r="I34" s="508">
        <v>5</v>
      </c>
      <c r="J34" s="508"/>
      <c r="K34" s="508"/>
      <c r="L34" s="508"/>
      <c r="M34" s="508"/>
      <c r="N34" s="508"/>
      <c r="O34" s="508"/>
      <c r="P34" s="508"/>
      <c r="Q34" s="508"/>
      <c r="R34" s="508"/>
      <c r="S34" s="508"/>
      <c r="T34" s="508"/>
      <c r="U34" s="508">
        <v>25</v>
      </c>
      <c r="V34" s="509">
        <v>31725.888324873096</v>
      </c>
      <c r="W34" s="509">
        <v>6345.1776649746189</v>
      </c>
    </row>
    <row r="35" spans="1:23" ht="26.25" customHeight="1">
      <c r="A35" s="508">
        <v>28</v>
      </c>
      <c r="B35" s="508" t="s">
        <v>766</v>
      </c>
      <c r="C35" s="508">
        <v>4</v>
      </c>
      <c r="D35" s="508" t="s">
        <v>767</v>
      </c>
      <c r="E35" s="508">
        <v>49500</v>
      </c>
      <c r="F35" s="508">
        <v>2284.263959390863</v>
      </c>
      <c r="G35" s="508">
        <v>30</v>
      </c>
      <c r="H35" s="508">
        <v>34</v>
      </c>
      <c r="I35" s="508"/>
      <c r="J35" s="508"/>
      <c r="K35" s="508"/>
      <c r="L35" s="508"/>
      <c r="M35" s="508"/>
      <c r="N35" s="508"/>
      <c r="O35" s="508"/>
      <c r="P35" s="508"/>
      <c r="Q35" s="508"/>
      <c r="R35" s="508"/>
      <c r="S35" s="508"/>
      <c r="T35" s="508"/>
      <c r="U35" s="508">
        <v>34</v>
      </c>
      <c r="V35" s="509">
        <v>77664.974619289336</v>
      </c>
      <c r="W35" s="509"/>
    </row>
    <row r="36" spans="1:23" ht="26.25" customHeight="1">
      <c r="A36" s="508">
        <v>29</v>
      </c>
      <c r="B36" s="508" t="s">
        <v>768</v>
      </c>
      <c r="C36" s="508">
        <v>3</v>
      </c>
      <c r="D36" s="508" t="s">
        <v>747</v>
      </c>
      <c r="E36" s="508">
        <v>95000</v>
      </c>
      <c r="F36" s="508">
        <v>4383.9409321642825</v>
      </c>
      <c r="G36" s="508">
        <v>15</v>
      </c>
      <c r="H36" s="508">
        <v>18</v>
      </c>
      <c r="I36" s="508"/>
      <c r="J36" s="508"/>
      <c r="K36" s="508"/>
      <c r="L36" s="508"/>
      <c r="M36" s="508"/>
      <c r="N36" s="508"/>
      <c r="O36" s="508"/>
      <c r="P36" s="508"/>
      <c r="Q36" s="508"/>
      <c r="R36" s="508"/>
      <c r="S36" s="508"/>
      <c r="T36" s="508"/>
      <c r="U36" s="508">
        <v>18</v>
      </c>
      <c r="V36" s="509">
        <v>78910.936778957082</v>
      </c>
      <c r="W36" s="509"/>
    </row>
    <row r="37" spans="1:23" ht="26.25" customHeight="1">
      <c r="A37" s="508">
        <v>30</v>
      </c>
      <c r="B37" s="508" t="s">
        <v>769</v>
      </c>
      <c r="C37" s="508">
        <v>14</v>
      </c>
      <c r="D37" s="508" t="s">
        <v>770</v>
      </c>
      <c r="E37" s="508">
        <v>22000</v>
      </c>
      <c r="F37" s="508">
        <v>1015.228426395939</v>
      </c>
      <c r="G37" s="508">
        <v>15</v>
      </c>
      <c r="H37" s="508">
        <v>29</v>
      </c>
      <c r="I37" s="508">
        <v>29</v>
      </c>
      <c r="J37" s="508"/>
      <c r="K37" s="508"/>
      <c r="L37" s="508"/>
      <c r="M37" s="508"/>
      <c r="N37" s="508"/>
      <c r="O37" s="508"/>
      <c r="P37" s="508"/>
      <c r="Q37" s="508"/>
      <c r="R37" s="508"/>
      <c r="S37" s="508"/>
      <c r="T37" s="508"/>
      <c r="U37" s="508">
        <v>0</v>
      </c>
      <c r="V37" s="509">
        <v>0</v>
      </c>
      <c r="W37" s="509">
        <v>29441.624365482232</v>
      </c>
    </row>
    <row r="38" spans="1:23" ht="26.25" customHeight="1">
      <c r="A38" s="508">
        <v>31</v>
      </c>
      <c r="B38" s="508" t="s">
        <v>771</v>
      </c>
      <c r="C38" s="508">
        <v>2</v>
      </c>
      <c r="D38" s="508" t="s">
        <v>772</v>
      </c>
      <c r="E38" s="508">
        <v>23000</v>
      </c>
      <c r="F38" s="508">
        <v>1061.3751730503</v>
      </c>
      <c r="G38" s="508">
        <v>15</v>
      </c>
      <c r="H38" s="508">
        <v>17</v>
      </c>
      <c r="I38" s="508"/>
      <c r="J38" s="508"/>
      <c r="K38" s="508"/>
      <c r="L38" s="508"/>
      <c r="M38" s="508"/>
      <c r="N38" s="508"/>
      <c r="O38" s="508"/>
      <c r="P38" s="508"/>
      <c r="Q38" s="508"/>
      <c r="R38" s="508"/>
      <c r="S38" s="508"/>
      <c r="T38" s="508"/>
      <c r="U38" s="508">
        <v>17</v>
      </c>
      <c r="V38" s="509">
        <v>18043.377941855098</v>
      </c>
      <c r="W38" s="509"/>
    </row>
    <row r="39" spans="1:23" ht="26.25" customHeight="1">
      <c r="A39" s="508">
        <v>32</v>
      </c>
      <c r="B39" s="508" t="s">
        <v>773</v>
      </c>
      <c r="C39" s="508">
        <v>-5</v>
      </c>
      <c r="D39" s="508" t="s">
        <v>774</v>
      </c>
      <c r="E39" s="508">
        <v>66000</v>
      </c>
      <c r="F39" s="508">
        <v>3045.6852791878168</v>
      </c>
      <c r="G39" s="508">
        <v>15</v>
      </c>
      <c r="H39" s="508">
        <v>10</v>
      </c>
      <c r="I39" s="508"/>
      <c r="J39" s="508"/>
      <c r="K39" s="508"/>
      <c r="L39" s="508"/>
      <c r="M39" s="508"/>
      <c r="N39" s="508"/>
      <c r="O39" s="508"/>
      <c r="P39" s="508"/>
      <c r="Q39" s="508"/>
      <c r="R39" s="508"/>
      <c r="S39" s="508"/>
      <c r="T39" s="508"/>
      <c r="U39" s="508">
        <v>10</v>
      </c>
      <c r="V39" s="509">
        <v>30456.852791878169</v>
      </c>
      <c r="W39" s="509"/>
    </row>
    <row r="40" spans="1:23" ht="26.25" customHeight="1">
      <c r="A40" s="508">
        <v>33</v>
      </c>
      <c r="B40" s="508" t="s">
        <v>775</v>
      </c>
      <c r="C40" s="508">
        <v>0</v>
      </c>
      <c r="D40" s="508" t="s">
        <v>735</v>
      </c>
      <c r="E40" s="508">
        <v>23650</v>
      </c>
      <c r="F40" s="508">
        <v>1091.3705583756343</v>
      </c>
      <c r="G40" s="508">
        <v>30</v>
      </c>
      <c r="H40" s="508">
        <v>30</v>
      </c>
      <c r="I40" s="508"/>
      <c r="J40" s="508"/>
      <c r="K40" s="508"/>
      <c r="L40" s="508"/>
      <c r="M40" s="508"/>
      <c r="N40" s="508"/>
      <c r="O40" s="508"/>
      <c r="P40" s="508"/>
      <c r="Q40" s="508"/>
      <c r="R40" s="508"/>
      <c r="S40" s="508"/>
      <c r="T40" s="508"/>
      <c r="U40" s="508">
        <v>30</v>
      </c>
      <c r="V40" s="509">
        <v>32741.11675126903</v>
      </c>
      <c r="W40" s="509"/>
    </row>
    <row r="41" spans="1:23" ht="26.25" customHeight="1">
      <c r="A41" s="508">
        <v>34</v>
      </c>
      <c r="B41" s="508" t="s">
        <v>776</v>
      </c>
      <c r="C41" s="508">
        <v>15</v>
      </c>
      <c r="D41" s="508" t="s">
        <v>745</v>
      </c>
      <c r="E41" s="508">
        <v>27500</v>
      </c>
      <c r="F41" s="508">
        <v>1269.0355329949239</v>
      </c>
      <c r="G41" s="508">
        <v>15</v>
      </c>
      <c r="H41" s="508">
        <v>30</v>
      </c>
      <c r="I41" s="508"/>
      <c r="J41" s="508"/>
      <c r="K41" s="508"/>
      <c r="L41" s="508"/>
      <c r="M41" s="508"/>
      <c r="N41" s="508"/>
      <c r="O41" s="508"/>
      <c r="P41" s="508"/>
      <c r="Q41" s="508"/>
      <c r="R41" s="508"/>
      <c r="S41" s="508"/>
      <c r="T41" s="508"/>
      <c r="U41" s="508">
        <v>30</v>
      </c>
      <c r="V41" s="509">
        <v>38071.065989847717</v>
      </c>
      <c r="W41" s="509"/>
    </row>
    <row r="42" spans="1:23" ht="26.25" customHeight="1">
      <c r="A42" s="508">
        <v>35</v>
      </c>
      <c r="B42" s="508" t="s">
        <v>777</v>
      </c>
      <c r="C42" s="508">
        <v>15</v>
      </c>
      <c r="D42" s="508" t="s">
        <v>778</v>
      </c>
      <c r="E42" s="508">
        <v>605000</v>
      </c>
      <c r="F42" s="508">
        <v>27918.781725888322</v>
      </c>
      <c r="G42" s="508">
        <v>20</v>
      </c>
      <c r="H42" s="508">
        <v>35</v>
      </c>
      <c r="I42" s="508"/>
      <c r="J42" s="508"/>
      <c r="K42" s="508"/>
      <c r="L42" s="508"/>
      <c r="M42" s="508"/>
      <c r="N42" s="508"/>
      <c r="O42" s="508"/>
      <c r="P42" s="508"/>
      <c r="Q42" s="508"/>
      <c r="R42" s="508"/>
      <c r="S42" s="508"/>
      <c r="T42" s="508"/>
      <c r="U42" s="508">
        <v>35</v>
      </c>
      <c r="V42" s="509">
        <v>977157.36040609132</v>
      </c>
      <c r="W42" s="509"/>
    </row>
    <row r="43" spans="1:23" ht="26.25" customHeight="1">
      <c r="A43" s="508">
        <v>36</v>
      </c>
      <c r="B43" s="508" t="s">
        <v>779</v>
      </c>
      <c r="C43" s="508">
        <v>0</v>
      </c>
      <c r="D43" s="508" t="s">
        <v>780</v>
      </c>
      <c r="E43" s="508">
        <v>34000</v>
      </c>
      <c r="F43" s="508">
        <v>1568.9893862482693</v>
      </c>
      <c r="G43" s="508">
        <v>20</v>
      </c>
      <c r="H43" s="508">
        <v>20</v>
      </c>
      <c r="I43" s="508"/>
      <c r="J43" s="508"/>
      <c r="K43" s="508"/>
      <c r="L43" s="508"/>
      <c r="M43" s="508"/>
      <c r="N43" s="508"/>
      <c r="O43" s="508"/>
      <c r="P43" s="508"/>
      <c r="Q43" s="508"/>
      <c r="R43" s="508"/>
      <c r="S43" s="508"/>
      <c r="T43" s="508"/>
      <c r="U43" s="508">
        <v>20</v>
      </c>
      <c r="V43" s="509">
        <v>31379.787724965387</v>
      </c>
      <c r="W43" s="509"/>
    </row>
    <row r="44" spans="1:23" ht="26.25" customHeight="1">
      <c r="A44" s="508">
        <v>37</v>
      </c>
      <c r="B44" s="508" t="s">
        <v>781</v>
      </c>
      <c r="C44" s="508">
        <v>7</v>
      </c>
      <c r="D44" s="508" t="s">
        <v>782</v>
      </c>
      <c r="E44" s="508">
        <v>360000</v>
      </c>
      <c r="F44" s="508">
        <v>16612.828795569912</v>
      </c>
      <c r="G44" s="508">
        <v>20</v>
      </c>
      <c r="H44" s="508">
        <v>27</v>
      </c>
      <c r="I44" s="508">
        <v>3</v>
      </c>
      <c r="J44" s="508"/>
      <c r="K44" s="508"/>
      <c r="L44" s="508"/>
      <c r="M44" s="508"/>
      <c r="N44" s="508"/>
      <c r="O44" s="508"/>
      <c r="P44" s="508"/>
      <c r="Q44" s="508"/>
      <c r="R44" s="508"/>
      <c r="S44" s="508"/>
      <c r="T44" s="508"/>
      <c r="U44" s="508">
        <v>24</v>
      </c>
      <c r="V44" s="509">
        <v>398707.8910936779</v>
      </c>
      <c r="W44" s="509">
        <v>49838.486386709737</v>
      </c>
    </row>
    <row r="45" spans="1:23" ht="26.25" customHeight="1">
      <c r="A45" s="508">
        <v>38</v>
      </c>
      <c r="B45" s="508" t="s">
        <v>783</v>
      </c>
      <c r="C45" s="508">
        <v>3</v>
      </c>
      <c r="D45" s="508" t="s">
        <v>745</v>
      </c>
      <c r="E45" s="508">
        <v>27500</v>
      </c>
      <c r="F45" s="508">
        <v>1269.0355329949239</v>
      </c>
      <c r="G45" s="508">
        <v>15</v>
      </c>
      <c r="H45" s="508">
        <v>18</v>
      </c>
      <c r="I45" s="508"/>
      <c r="J45" s="508"/>
      <c r="K45" s="508"/>
      <c r="L45" s="508"/>
      <c r="M45" s="508"/>
      <c r="N45" s="508"/>
      <c r="O45" s="508"/>
      <c r="P45" s="508"/>
      <c r="Q45" s="508"/>
      <c r="R45" s="508"/>
      <c r="S45" s="508"/>
      <c r="T45" s="508"/>
      <c r="U45" s="508">
        <v>18</v>
      </c>
      <c r="V45" s="509">
        <v>22842.639593908629</v>
      </c>
      <c r="W45" s="509"/>
    </row>
    <row r="46" spans="1:23" ht="26.25" customHeight="1">
      <c r="A46" s="508">
        <v>39</v>
      </c>
      <c r="B46" s="508" t="s">
        <v>784</v>
      </c>
      <c r="C46" s="508">
        <v>3</v>
      </c>
      <c r="D46" s="508" t="s">
        <v>785</v>
      </c>
      <c r="E46" s="508">
        <v>88000</v>
      </c>
      <c r="F46" s="508">
        <v>4060.9137055837559</v>
      </c>
      <c r="G46" s="508">
        <v>30</v>
      </c>
      <c r="H46" s="508">
        <v>33</v>
      </c>
      <c r="I46" s="508"/>
      <c r="J46" s="508"/>
      <c r="K46" s="508"/>
      <c r="L46" s="508"/>
      <c r="M46" s="508"/>
      <c r="N46" s="508"/>
      <c r="O46" s="508"/>
      <c r="P46" s="508"/>
      <c r="Q46" s="508"/>
      <c r="R46" s="508"/>
      <c r="S46" s="508"/>
      <c r="T46" s="508"/>
      <c r="U46" s="508">
        <v>33</v>
      </c>
      <c r="V46" s="509">
        <v>134010.15228426395</v>
      </c>
      <c r="W46" s="509"/>
    </row>
    <row r="47" spans="1:23" ht="26.25" customHeight="1">
      <c r="A47" s="508">
        <v>40</v>
      </c>
      <c r="B47" s="508" t="s">
        <v>786</v>
      </c>
      <c r="C47" s="508">
        <v>3</v>
      </c>
      <c r="D47" s="508" t="s">
        <v>767</v>
      </c>
      <c r="E47" s="508">
        <v>49500</v>
      </c>
      <c r="F47" s="508">
        <v>2284.263959390863</v>
      </c>
      <c r="G47" s="508">
        <v>30</v>
      </c>
      <c r="H47" s="508">
        <v>33</v>
      </c>
      <c r="I47" s="508"/>
      <c r="J47" s="508"/>
      <c r="K47" s="508"/>
      <c r="L47" s="508"/>
      <c r="M47" s="508"/>
      <c r="N47" s="508"/>
      <c r="O47" s="508"/>
      <c r="P47" s="508"/>
      <c r="Q47" s="508"/>
      <c r="R47" s="508"/>
      <c r="S47" s="508"/>
      <c r="T47" s="508"/>
      <c r="U47" s="508">
        <v>33</v>
      </c>
      <c r="V47" s="509">
        <v>75380.710659898483</v>
      </c>
      <c r="W47" s="509"/>
    </row>
    <row r="48" spans="1:23" ht="26.25" customHeight="1">
      <c r="A48" s="508">
        <v>41</v>
      </c>
      <c r="B48" s="508" t="s">
        <v>787</v>
      </c>
      <c r="C48" s="508">
        <v>28</v>
      </c>
      <c r="D48" s="508" t="s">
        <v>788</v>
      </c>
      <c r="E48" s="508">
        <v>88000</v>
      </c>
      <c r="F48" s="508">
        <v>4060.9137055837559</v>
      </c>
      <c r="G48" s="508">
        <v>30</v>
      </c>
      <c r="H48" s="508">
        <v>58</v>
      </c>
      <c r="I48" s="508">
        <v>20</v>
      </c>
      <c r="J48" s="508"/>
      <c r="K48" s="508"/>
      <c r="L48" s="508"/>
      <c r="M48" s="508"/>
      <c r="N48" s="508"/>
      <c r="O48" s="508"/>
      <c r="P48" s="508"/>
      <c r="Q48" s="508"/>
      <c r="R48" s="508"/>
      <c r="S48" s="508"/>
      <c r="T48" s="508"/>
      <c r="U48" s="508">
        <v>38</v>
      </c>
      <c r="V48" s="509">
        <v>154314.72081218273</v>
      </c>
      <c r="W48" s="509">
        <v>81218.274111675113</v>
      </c>
    </row>
    <row r="49" spans="1:23" ht="26.25" customHeight="1">
      <c r="A49" s="508">
        <v>42</v>
      </c>
      <c r="B49" s="508" t="s">
        <v>789</v>
      </c>
      <c r="C49" s="508">
        <v>15</v>
      </c>
      <c r="D49" s="508" t="s">
        <v>790</v>
      </c>
      <c r="E49" s="508">
        <v>49500</v>
      </c>
      <c r="F49" s="508">
        <v>2284.263959390863</v>
      </c>
      <c r="G49" s="508">
        <v>25</v>
      </c>
      <c r="H49" s="508">
        <v>40</v>
      </c>
      <c r="I49" s="508">
        <v>6</v>
      </c>
      <c r="J49" s="508"/>
      <c r="K49" s="508"/>
      <c r="L49" s="508"/>
      <c r="M49" s="508"/>
      <c r="N49" s="508"/>
      <c r="O49" s="508"/>
      <c r="P49" s="508"/>
      <c r="Q49" s="508"/>
      <c r="R49" s="508"/>
      <c r="S49" s="508"/>
      <c r="T49" s="508"/>
      <c r="U49" s="508">
        <v>34</v>
      </c>
      <c r="V49" s="509">
        <v>77664.974619289336</v>
      </c>
      <c r="W49" s="509">
        <v>13705.583756345179</v>
      </c>
    </row>
    <row r="50" spans="1:23" ht="26.25" customHeight="1">
      <c r="A50" s="508">
        <v>43</v>
      </c>
      <c r="B50" s="508" t="s">
        <v>791</v>
      </c>
      <c r="C50" s="508">
        <v>10</v>
      </c>
      <c r="D50" s="508" t="s">
        <v>792</v>
      </c>
      <c r="E50" s="508">
        <v>220000</v>
      </c>
      <c r="F50" s="508">
        <v>10152.284263959391</v>
      </c>
      <c r="G50" s="508">
        <v>20</v>
      </c>
      <c r="H50" s="508">
        <v>30</v>
      </c>
      <c r="I50" s="508"/>
      <c r="J50" s="508"/>
      <c r="K50" s="508"/>
      <c r="L50" s="508"/>
      <c r="M50" s="508"/>
      <c r="N50" s="508"/>
      <c r="O50" s="508"/>
      <c r="P50" s="508"/>
      <c r="Q50" s="508"/>
      <c r="R50" s="508"/>
      <c r="S50" s="508"/>
      <c r="T50" s="508"/>
      <c r="U50" s="508">
        <v>30</v>
      </c>
      <c r="V50" s="509">
        <v>304568.52791878174</v>
      </c>
      <c r="W50" s="509"/>
    </row>
    <row r="51" spans="1:23" ht="26.25" customHeight="1">
      <c r="A51" s="508">
        <v>44</v>
      </c>
      <c r="B51" s="508" t="s">
        <v>793</v>
      </c>
      <c r="C51" s="508">
        <v>0</v>
      </c>
      <c r="D51" s="508" t="s">
        <v>730</v>
      </c>
      <c r="E51" s="508">
        <v>66000</v>
      </c>
      <c r="F51" s="508">
        <v>3045.6852791878168</v>
      </c>
      <c r="G51" s="508">
        <v>15</v>
      </c>
      <c r="H51" s="508">
        <v>15</v>
      </c>
      <c r="I51" s="508"/>
      <c r="J51" s="508"/>
      <c r="K51" s="508"/>
      <c r="L51" s="508"/>
      <c r="M51" s="508"/>
      <c r="N51" s="508"/>
      <c r="O51" s="508"/>
      <c r="P51" s="508"/>
      <c r="Q51" s="508"/>
      <c r="R51" s="508"/>
      <c r="S51" s="508"/>
      <c r="T51" s="508"/>
      <c r="U51" s="508">
        <v>15</v>
      </c>
      <c r="V51" s="509">
        <v>45685.27918781725</v>
      </c>
      <c r="W51" s="509"/>
    </row>
    <row r="52" spans="1:23" ht="26.25" customHeight="1">
      <c r="A52" s="508">
        <v>45</v>
      </c>
      <c r="B52" s="508" t="s">
        <v>794</v>
      </c>
      <c r="C52" s="508">
        <v>0</v>
      </c>
      <c r="D52" s="508" t="s">
        <v>398</v>
      </c>
      <c r="E52" s="508">
        <v>220000</v>
      </c>
      <c r="F52" s="508">
        <v>10152.284263959391</v>
      </c>
      <c r="G52" s="508">
        <v>15</v>
      </c>
      <c r="H52" s="508">
        <v>15</v>
      </c>
      <c r="I52" s="508"/>
      <c r="J52" s="508"/>
      <c r="K52" s="508"/>
      <c r="L52" s="508"/>
      <c r="M52" s="508"/>
      <c r="N52" s="508"/>
      <c r="O52" s="508"/>
      <c r="P52" s="508"/>
      <c r="Q52" s="508"/>
      <c r="R52" s="508"/>
      <c r="S52" s="508"/>
      <c r="T52" s="508"/>
      <c r="U52" s="508">
        <v>15</v>
      </c>
      <c r="V52" s="509">
        <v>152284.26395939087</v>
      </c>
      <c r="W52" s="509"/>
    </row>
    <row r="53" spans="1:23" ht="26.25" customHeight="1">
      <c r="A53" s="508">
        <v>46</v>
      </c>
      <c r="B53" s="508" t="s">
        <v>795</v>
      </c>
      <c r="C53" s="508">
        <v>15</v>
      </c>
      <c r="D53" s="508" t="s">
        <v>398</v>
      </c>
      <c r="E53" s="508">
        <v>380000</v>
      </c>
      <c r="F53" s="508">
        <v>17535.76372865713</v>
      </c>
      <c r="G53" s="508">
        <v>30</v>
      </c>
      <c r="H53" s="508">
        <v>45</v>
      </c>
      <c r="I53" s="508"/>
      <c r="J53" s="508"/>
      <c r="K53" s="508"/>
      <c r="L53" s="508"/>
      <c r="M53" s="508"/>
      <c r="N53" s="508"/>
      <c r="O53" s="508"/>
      <c r="P53" s="508"/>
      <c r="Q53" s="508"/>
      <c r="R53" s="508"/>
      <c r="S53" s="508"/>
      <c r="T53" s="508"/>
      <c r="U53" s="508">
        <v>45</v>
      </c>
      <c r="V53" s="509">
        <v>789109.36778957082</v>
      </c>
      <c r="W53" s="509"/>
    </row>
    <row r="54" spans="1:23" ht="26.25" customHeight="1">
      <c r="A54" s="508">
        <v>47</v>
      </c>
      <c r="B54" s="508" t="s">
        <v>796</v>
      </c>
      <c r="C54" s="508">
        <v>15</v>
      </c>
      <c r="D54" s="508" t="s">
        <v>797</v>
      </c>
      <c r="E54" s="508">
        <v>380000</v>
      </c>
      <c r="F54" s="508">
        <v>17535.76372865713</v>
      </c>
      <c r="G54" s="508">
        <v>15</v>
      </c>
      <c r="H54" s="508">
        <v>30</v>
      </c>
      <c r="I54" s="508"/>
      <c r="J54" s="508"/>
      <c r="K54" s="508"/>
      <c r="L54" s="508"/>
      <c r="M54" s="508"/>
      <c r="N54" s="508"/>
      <c r="O54" s="508"/>
      <c r="P54" s="508"/>
      <c r="Q54" s="508"/>
      <c r="R54" s="508"/>
      <c r="S54" s="508"/>
      <c r="T54" s="508"/>
      <c r="U54" s="508">
        <v>30</v>
      </c>
      <c r="V54" s="509">
        <v>526072.91185971384</v>
      </c>
      <c r="W54" s="509"/>
    </row>
    <row r="55" spans="1:23" ht="26.25" customHeight="1">
      <c r="A55" s="508">
        <v>48</v>
      </c>
      <c r="B55" s="508" t="s">
        <v>798</v>
      </c>
      <c r="C55" s="508">
        <v>5</v>
      </c>
      <c r="D55" s="508" t="s">
        <v>751</v>
      </c>
      <c r="E55" s="508">
        <v>35750</v>
      </c>
      <c r="F55" s="508">
        <v>1649.7461928934008</v>
      </c>
      <c r="G55" s="508">
        <v>30</v>
      </c>
      <c r="H55" s="508">
        <v>35</v>
      </c>
      <c r="I55" s="508"/>
      <c r="J55" s="508"/>
      <c r="K55" s="508"/>
      <c r="L55" s="508"/>
      <c r="M55" s="508"/>
      <c r="N55" s="508"/>
      <c r="O55" s="508"/>
      <c r="P55" s="508"/>
      <c r="Q55" s="508"/>
      <c r="R55" s="508"/>
      <c r="S55" s="508"/>
      <c r="T55" s="508"/>
      <c r="U55" s="508">
        <v>35</v>
      </c>
      <c r="V55" s="509">
        <v>57741.11675126903</v>
      </c>
      <c r="W55" s="509"/>
    </row>
    <row r="56" spans="1:23" ht="26.25" customHeight="1">
      <c r="A56" s="508">
        <v>49</v>
      </c>
      <c r="B56" s="508" t="s">
        <v>799</v>
      </c>
      <c r="C56" s="508">
        <v>0</v>
      </c>
      <c r="D56" s="508" t="s">
        <v>398</v>
      </c>
      <c r="E56" s="508">
        <v>220000</v>
      </c>
      <c r="F56" s="508">
        <v>10152.284263959391</v>
      </c>
      <c r="G56" s="508">
        <v>15</v>
      </c>
      <c r="H56" s="508">
        <v>15</v>
      </c>
      <c r="I56" s="508">
        <v>5</v>
      </c>
      <c r="J56" s="508"/>
      <c r="K56" s="508"/>
      <c r="L56" s="508"/>
      <c r="M56" s="508"/>
      <c r="N56" s="508"/>
      <c r="O56" s="508"/>
      <c r="P56" s="508"/>
      <c r="Q56" s="508"/>
      <c r="R56" s="508"/>
      <c r="S56" s="508"/>
      <c r="T56" s="508"/>
      <c r="U56" s="508">
        <v>10</v>
      </c>
      <c r="V56" s="509">
        <v>101522.8426395939</v>
      </c>
      <c r="W56" s="509">
        <v>50761.421319796951</v>
      </c>
    </row>
    <row r="57" spans="1:23" ht="26.25" customHeight="1">
      <c r="A57" s="508">
        <v>50</v>
      </c>
      <c r="B57" s="508" t="s">
        <v>800</v>
      </c>
      <c r="C57" s="508">
        <v>25</v>
      </c>
      <c r="D57" s="508" t="s">
        <v>724</v>
      </c>
      <c r="E57" s="508">
        <v>220000</v>
      </c>
      <c r="F57" s="508">
        <v>10152.284263959391</v>
      </c>
      <c r="G57" s="508">
        <v>30</v>
      </c>
      <c r="H57" s="508">
        <v>55</v>
      </c>
      <c r="I57" s="508"/>
      <c r="J57" s="508"/>
      <c r="K57" s="508"/>
      <c r="L57" s="508"/>
      <c r="M57" s="508"/>
      <c r="N57" s="508"/>
      <c r="O57" s="508"/>
      <c r="P57" s="508"/>
      <c r="Q57" s="508"/>
      <c r="R57" s="508"/>
      <c r="S57" s="508"/>
      <c r="T57" s="508"/>
      <c r="U57" s="508">
        <v>55</v>
      </c>
      <c r="V57" s="509">
        <v>558375.63451776654</v>
      </c>
      <c r="W57" s="509"/>
    </row>
    <row r="58" spans="1:23" ht="26.25" customHeight="1">
      <c r="A58" s="508">
        <v>51</v>
      </c>
      <c r="B58" s="508" t="s">
        <v>801</v>
      </c>
      <c r="C58" s="508">
        <v>3</v>
      </c>
      <c r="D58" s="508" t="s">
        <v>790</v>
      </c>
      <c r="E58" s="508">
        <v>45000</v>
      </c>
      <c r="F58" s="508">
        <v>2076.6035994462391</v>
      </c>
      <c r="G58" s="508">
        <v>20</v>
      </c>
      <c r="H58" s="508">
        <v>23</v>
      </c>
      <c r="I58" s="508"/>
      <c r="J58" s="508"/>
      <c r="K58" s="508"/>
      <c r="L58" s="508"/>
      <c r="M58" s="508"/>
      <c r="N58" s="508"/>
      <c r="O58" s="508"/>
      <c r="P58" s="508"/>
      <c r="Q58" s="508"/>
      <c r="R58" s="508"/>
      <c r="S58" s="508"/>
      <c r="T58" s="508"/>
      <c r="U58" s="508">
        <v>23</v>
      </c>
      <c r="V58" s="509">
        <v>47761.882787263501</v>
      </c>
      <c r="W58" s="509"/>
    </row>
    <row r="59" spans="1:23" ht="26.25" customHeight="1">
      <c r="A59" s="508">
        <v>52</v>
      </c>
      <c r="B59" s="508" t="s">
        <v>802</v>
      </c>
      <c r="C59" s="508">
        <v>13</v>
      </c>
      <c r="D59" s="508" t="s">
        <v>730</v>
      </c>
      <c r="E59" s="508">
        <v>66000</v>
      </c>
      <c r="F59" s="508">
        <v>3045.6852791878168</v>
      </c>
      <c r="G59" s="508">
        <v>25</v>
      </c>
      <c r="H59" s="508">
        <v>38</v>
      </c>
      <c r="I59" s="508">
        <v>3</v>
      </c>
      <c r="J59" s="508"/>
      <c r="K59" s="508"/>
      <c r="L59" s="508"/>
      <c r="M59" s="508"/>
      <c r="N59" s="508"/>
      <c r="O59" s="508"/>
      <c r="P59" s="508"/>
      <c r="Q59" s="508"/>
      <c r="R59" s="508"/>
      <c r="S59" s="508"/>
      <c r="T59" s="508"/>
      <c r="U59" s="508">
        <v>35</v>
      </c>
      <c r="V59" s="509">
        <v>106598.9847715736</v>
      </c>
      <c r="W59" s="509">
        <v>9137.05583756345</v>
      </c>
    </row>
    <row r="60" spans="1:23" ht="26.25" customHeight="1">
      <c r="A60" s="508">
        <v>53</v>
      </c>
      <c r="B60" s="508" t="s">
        <v>803</v>
      </c>
      <c r="C60" s="508">
        <v>0</v>
      </c>
      <c r="D60" s="508" t="s">
        <v>398</v>
      </c>
      <c r="E60" s="508">
        <v>132000</v>
      </c>
      <c r="F60" s="508">
        <v>6091.3705583756337</v>
      </c>
      <c r="G60" s="508">
        <v>15</v>
      </c>
      <c r="H60" s="508">
        <v>15</v>
      </c>
      <c r="I60" s="508">
        <v>10</v>
      </c>
      <c r="J60" s="508"/>
      <c r="K60" s="508"/>
      <c r="L60" s="508"/>
      <c r="M60" s="508"/>
      <c r="N60" s="508"/>
      <c r="O60" s="508"/>
      <c r="P60" s="508"/>
      <c r="Q60" s="508"/>
      <c r="R60" s="508"/>
      <c r="S60" s="508"/>
      <c r="T60" s="508"/>
      <c r="U60" s="508">
        <v>5</v>
      </c>
      <c r="V60" s="509">
        <v>30456.852791878169</v>
      </c>
      <c r="W60" s="509">
        <v>60913.705583756338</v>
      </c>
    </row>
    <row r="61" spans="1:23" ht="26.25" customHeight="1">
      <c r="A61" s="508">
        <v>54</v>
      </c>
      <c r="B61" s="508" t="s">
        <v>804</v>
      </c>
      <c r="C61" s="508">
        <v>9</v>
      </c>
      <c r="D61" s="508" t="s">
        <v>805</v>
      </c>
      <c r="E61" s="508">
        <v>100000</v>
      </c>
      <c r="F61" s="508">
        <v>4614.6746654360868</v>
      </c>
      <c r="G61" s="508">
        <v>25</v>
      </c>
      <c r="H61" s="508">
        <v>34</v>
      </c>
      <c r="I61" s="508"/>
      <c r="J61" s="508"/>
      <c r="K61" s="508"/>
      <c r="L61" s="508"/>
      <c r="M61" s="508"/>
      <c r="N61" s="508"/>
      <c r="O61" s="508"/>
      <c r="P61" s="508"/>
      <c r="Q61" s="508"/>
      <c r="R61" s="508"/>
      <c r="S61" s="508"/>
      <c r="T61" s="508"/>
      <c r="U61" s="508">
        <v>34</v>
      </c>
      <c r="V61" s="509">
        <v>156898.93862482696</v>
      </c>
      <c r="W61" s="509"/>
    </row>
    <row r="62" spans="1:23" ht="26.25" customHeight="1">
      <c r="A62" s="508">
        <v>55</v>
      </c>
      <c r="B62" s="508" t="s">
        <v>806</v>
      </c>
      <c r="C62" s="508">
        <v>7</v>
      </c>
      <c r="D62" s="508" t="s">
        <v>807</v>
      </c>
      <c r="E62" s="508">
        <v>27500</v>
      </c>
      <c r="F62" s="508">
        <v>1269.0355329949239</v>
      </c>
      <c r="G62" s="508">
        <v>20</v>
      </c>
      <c r="H62" s="508">
        <v>27</v>
      </c>
      <c r="I62" s="508">
        <v>1</v>
      </c>
      <c r="J62" s="508"/>
      <c r="K62" s="508"/>
      <c r="L62" s="508"/>
      <c r="M62" s="508"/>
      <c r="N62" s="508"/>
      <c r="O62" s="508"/>
      <c r="P62" s="508"/>
      <c r="Q62" s="508"/>
      <c r="R62" s="508"/>
      <c r="S62" s="508"/>
      <c r="T62" s="508"/>
      <c r="U62" s="508">
        <v>26</v>
      </c>
      <c r="V62" s="509">
        <v>32994.923857868023</v>
      </c>
      <c r="W62" s="509"/>
    </row>
    <row r="63" spans="1:23" ht="26.25" customHeight="1">
      <c r="A63" s="508">
        <v>56</v>
      </c>
      <c r="B63" s="508" t="s">
        <v>808</v>
      </c>
      <c r="C63" s="508">
        <v>7</v>
      </c>
      <c r="D63" s="508" t="s">
        <v>767</v>
      </c>
      <c r="E63" s="508">
        <v>45000</v>
      </c>
      <c r="F63" s="508">
        <v>2076.6035994462391</v>
      </c>
      <c r="G63" s="508">
        <v>15</v>
      </c>
      <c r="H63" s="508">
        <v>22</v>
      </c>
      <c r="I63" s="508"/>
      <c r="J63" s="508"/>
      <c r="K63" s="508"/>
      <c r="L63" s="508"/>
      <c r="M63" s="508"/>
      <c r="N63" s="508"/>
      <c r="O63" s="508"/>
      <c r="P63" s="508"/>
      <c r="Q63" s="508"/>
      <c r="R63" s="508"/>
      <c r="S63" s="508"/>
      <c r="T63" s="508"/>
      <c r="U63" s="508">
        <v>22</v>
      </c>
      <c r="V63" s="509">
        <v>45685.279187817257</v>
      </c>
      <c r="W63" s="509"/>
    </row>
    <row r="64" spans="1:23" ht="26.25" customHeight="1">
      <c r="A64" s="508">
        <v>57</v>
      </c>
      <c r="B64" s="508" t="s">
        <v>809</v>
      </c>
      <c r="C64" s="508">
        <v>0</v>
      </c>
      <c r="D64" s="508" t="s">
        <v>751</v>
      </c>
      <c r="E64" s="508">
        <v>27500</v>
      </c>
      <c r="F64" s="508">
        <v>1269.0355329949239</v>
      </c>
      <c r="G64" s="508">
        <v>15</v>
      </c>
      <c r="H64" s="508">
        <v>15</v>
      </c>
      <c r="I64" s="508"/>
      <c r="J64" s="508"/>
      <c r="K64" s="508"/>
      <c r="L64" s="508"/>
      <c r="M64" s="508"/>
      <c r="N64" s="508"/>
      <c r="O64" s="508"/>
      <c r="P64" s="508"/>
      <c r="Q64" s="508"/>
      <c r="R64" s="508"/>
      <c r="S64" s="508"/>
      <c r="T64" s="508"/>
      <c r="U64" s="508">
        <v>15</v>
      </c>
      <c r="V64" s="509">
        <v>19035.532994923858</v>
      </c>
      <c r="W64" s="509"/>
    </row>
    <row r="65" spans="1:23" ht="26.25" customHeight="1">
      <c r="A65" s="508">
        <v>58</v>
      </c>
      <c r="B65" s="508" t="s">
        <v>810</v>
      </c>
      <c r="C65" s="508">
        <v>10</v>
      </c>
      <c r="D65" s="508" t="s">
        <v>743</v>
      </c>
      <c r="E65" s="508">
        <v>85000</v>
      </c>
      <c r="F65" s="508">
        <v>3922.4734656206733</v>
      </c>
      <c r="G65" s="508">
        <v>30</v>
      </c>
      <c r="H65" s="508">
        <v>40</v>
      </c>
      <c r="I65" s="508"/>
      <c r="J65" s="508"/>
      <c r="K65" s="508"/>
      <c r="L65" s="508"/>
      <c r="M65" s="508"/>
      <c r="N65" s="508"/>
      <c r="O65" s="508"/>
      <c r="P65" s="508"/>
      <c r="Q65" s="508"/>
      <c r="R65" s="508"/>
      <c r="S65" s="508"/>
      <c r="T65" s="508"/>
      <c r="U65" s="508">
        <v>40</v>
      </c>
      <c r="V65" s="509">
        <v>156898.93862482693</v>
      </c>
      <c r="W65" s="509"/>
    </row>
    <row r="66" spans="1:23" ht="26.25" customHeight="1">
      <c r="A66" s="508">
        <v>59</v>
      </c>
      <c r="B66" s="508" t="s">
        <v>811</v>
      </c>
      <c r="C66" s="508">
        <v>11</v>
      </c>
      <c r="D66" s="508" t="s">
        <v>812</v>
      </c>
      <c r="E66" s="508">
        <v>49500</v>
      </c>
      <c r="F66" s="508">
        <v>2284.263959390863</v>
      </c>
      <c r="G66" s="508">
        <v>20</v>
      </c>
      <c r="H66" s="508">
        <v>31</v>
      </c>
      <c r="I66" s="508">
        <v>6</v>
      </c>
      <c r="J66" s="508"/>
      <c r="K66" s="508"/>
      <c r="L66" s="508"/>
      <c r="M66" s="508"/>
      <c r="N66" s="508"/>
      <c r="O66" s="508"/>
      <c r="P66" s="508"/>
      <c r="Q66" s="508"/>
      <c r="R66" s="508"/>
      <c r="S66" s="508"/>
      <c r="T66" s="508"/>
      <c r="U66" s="508">
        <v>25</v>
      </c>
      <c r="V66" s="509">
        <v>57106.598984771575</v>
      </c>
      <c r="W66" s="509">
        <v>13705.583756345179</v>
      </c>
    </row>
    <row r="67" spans="1:23" ht="26.25" customHeight="1">
      <c r="A67" s="508">
        <v>60</v>
      </c>
      <c r="B67" s="508" t="s">
        <v>813</v>
      </c>
      <c r="C67" s="508">
        <v>15</v>
      </c>
      <c r="D67" s="508" t="s">
        <v>814</v>
      </c>
      <c r="E67" s="508">
        <v>88000</v>
      </c>
      <c r="F67" s="508">
        <v>4060.9137055837559</v>
      </c>
      <c r="G67" s="508">
        <v>30</v>
      </c>
      <c r="H67" s="508">
        <v>45</v>
      </c>
      <c r="I67" s="508"/>
      <c r="J67" s="508"/>
      <c r="K67" s="508"/>
      <c r="L67" s="508"/>
      <c r="M67" s="508"/>
      <c r="N67" s="508"/>
      <c r="O67" s="508"/>
      <c r="P67" s="508"/>
      <c r="Q67" s="508"/>
      <c r="R67" s="508"/>
      <c r="S67" s="508"/>
      <c r="T67" s="508"/>
      <c r="U67" s="508">
        <v>45</v>
      </c>
      <c r="V67" s="509">
        <v>182741.11675126903</v>
      </c>
      <c r="W67" s="509"/>
    </row>
    <row r="68" spans="1:23" ht="26.25" customHeight="1">
      <c r="A68" s="508">
        <v>61</v>
      </c>
      <c r="B68" s="508" t="s">
        <v>815</v>
      </c>
      <c r="C68" s="508">
        <v>0</v>
      </c>
      <c r="D68" s="508" t="s">
        <v>398</v>
      </c>
      <c r="E68" s="508">
        <v>220000</v>
      </c>
      <c r="F68" s="508">
        <v>10152.284263959391</v>
      </c>
      <c r="G68" s="508">
        <v>15</v>
      </c>
      <c r="H68" s="508">
        <v>15</v>
      </c>
      <c r="I68" s="508"/>
      <c r="J68" s="508"/>
      <c r="K68" s="508"/>
      <c r="L68" s="508"/>
      <c r="M68" s="508"/>
      <c r="N68" s="508"/>
      <c r="O68" s="508"/>
      <c r="P68" s="508"/>
      <c r="Q68" s="508"/>
      <c r="R68" s="508"/>
      <c r="S68" s="508"/>
      <c r="T68" s="508"/>
      <c r="U68" s="508">
        <v>15</v>
      </c>
      <c r="V68" s="509">
        <v>152284.26395939087</v>
      </c>
      <c r="W68" s="509"/>
    </row>
    <row r="69" spans="1:23" ht="26.25" customHeight="1">
      <c r="A69" s="508">
        <v>62</v>
      </c>
      <c r="B69" s="508" t="s">
        <v>816</v>
      </c>
      <c r="C69" s="508">
        <v>5</v>
      </c>
      <c r="D69" s="508" t="s">
        <v>817</v>
      </c>
      <c r="E69" s="508">
        <v>180000</v>
      </c>
      <c r="F69" s="508">
        <v>8306.4143977849562</v>
      </c>
      <c r="G69" s="508">
        <v>30</v>
      </c>
      <c r="H69" s="508">
        <v>35</v>
      </c>
      <c r="I69" s="508">
        <v>4</v>
      </c>
      <c r="J69" s="508"/>
      <c r="K69" s="508"/>
      <c r="L69" s="508"/>
      <c r="M69" s="508"/>
      <c r="N69" s="508"/>
      <c r="O69" s="508"/>
      <c r="P69" s="508"/>
      <c r="Q69" s="508"/>
      <c r="R69" s="508"/>
      <c r="S69" s="508"/>
      <c r="T69" s="508"/>
      <c r="U69" s="508">
        <v>31</v>
      </c>
      <c r="V69" s="509">
        <v>257498.84633133365</v>
      </c>
      <c r="W69" s="509">
        <v>33225.657591139825</v>
      </c>
    </row>
    <row r="70" spans="1:23" ht="26.25" customHeight="1">
      <c r="A70" s="508">
        <v>63</v>
      </c>
      <c r="B70" s="508" t="s">
        <v>818</v>
      </c>
      <c r="C70" s="508">
        <v>0</v>
      </c>
      <c r="D70" s="508" t="s">
        <v>745</v>
      </c>
      <c r="E70" s="508">
        <v>27500</v>
      </c>
      <c r="F70" s="508">
        <v>1269.0355329949239</v>
      </c>
      <c r="G70" s="508">
        <v>15</v>
      </c>
      <c r="H70" s="508">
        <v>15</v>
      </c>
      <c r="I70" s="508"/>
      <c r="J70" s="508"/>
      <c r="K70" s="508"/>
      <c r="L70" s="508"/>
      <c r="M70" s="508"/>
      <c r="N70" s="508"/>
      <c r="O70" s="508"/>
      <c r="P70" s="508"/>
      <c r="Q70" s="508"/>
      <c r="R70" s="508"/>
      <c r="S70" s="508"/>
      <c r="T70" s="508"/>
      <c r="U70" s="508">
        <v>15</v>
      </c>
      <c r="V70" s="509">
        <v>19035.532994923858</v>
      </c>
      <c r="W70" s="509"/>
    </row>
    <row r="71" spans="1:23" ht="26.25" customHeight="1">
      <c r="A71" s="508">
        <v>64</v>
      </c>
      <c r="B71" s="508" t="s">
        <v>819</v>
      </c>
      <c r="C71" s="508">
        <v>6</v>
      </c>
      <c r="D71" s="508" t="s">
        <v>730</v>
      </c>
      <c r="E71" s="508">
        <v>66000</v>
      </c>
      <c r="F71" s="508">
        <v>3045.6852791878168</v>
      </c>
      <c r="G71" s="508">
        <v>15</v>
      </c>
      <c r="H71" s="508">
        <v>21</v>
      </c>
      <c r="I71" s="508"/>
      <c r="J71" s="508"/>
      <c r="K71" s="508"/>
      <c r="L71" s="508"/>
      <c r="M71" s="508"/>
      <c r="N71" s="508"/>
      <c r="O71" s="508"/>
      <c r="P71" s="508"/>
      <c r="Q71" s="508"/>
      <c r="R71" s="508"/>
      <c r="S71" s="508"/>
      <c r="T71" s="508"/>
      <c r="U71" s="508">
        <v>21</v>
      </c>
      <c r="V71" s="509">
        <v>63959.39086294415</v>
      </c>
      <c r="W71" s="509"/>
    </row>
    <row r="72" spans="1:23" ht="26.25" customHeight="1">
      <c r="A72" s="508">
        <v>65</v>
      </c>
      <c r="B72" s="508" t="s">
        <v>820</v>
      </c>
      <c r="C72" s="508">
        <v>0</v>
      </c>
      <c r="D72" s="508" t="s">
        <v>821</v>
      </c>
      <c r="E72" s="508">
        <v>25000</v>
      </c>
      <c r="F72" s="508">
        <v>1153.6686663590217</v>
      </c>
      <c r="G72" s="508">
        <v>15</v>
      </c>
      <c r="H72" s="508">
        <v>15</v>
      </c>
      <c r="I72" s="508"/>
      <c r="J72" s="508"/>
      <c r="K72" s="508"/>
      <c r="L72" s="508"/>
      <c r="M72" s="508"/>
      <c r="N72" s="508"/>
      <c r="O72" s="508"/>
      <c r="P72" s="508"/>
      <c r="Q72" s="508"/>
      <c r="R72" s="508"/>
      <c r="S72" s="508"/>
      <c r="T72" s="508"/>
      <c r="U72" s="508">
        <v>15</v>
      </c>
      <c r="V72" s="509">
        <v>17305.029995385325</v>
      </c>
      <c r="W72" s="509"/>
    </row>
    <row r="73" spans="1:23" ht="26.25" customHeight="1">
      <c r="A73" s="508">
        <v>66</v>
      </c>
      <c r="B73" s="508" t="s">
        <v>822</v>
      </c>
      <c r="C73" s="508">
        <v>9</v>
      </c>
      <c r="D73" s="508" t="s">
        <v>823</v>
      </c>
      <c r="E73" s="508">
        <v>35750</v>
      </c>
      <c r="F73" s="508">
        <v>1649.7461928934008</v>
      </c>
      <c r="G73" s="508">
        <v>20</v>
      </c>
      <c r="H73" s="508">
        <v>29</v>
      </c>
      <c r="I73" s="508">
        <v>14</v>
      </c>
      <c r="J73" s="508"/>
      <c r="K73" s="508"/>
      <c r="L73" s="508"/>
      <c r="M73" s="508"/>
      <c r="N73" s="508"/>
      <c r="O73" s="508"/>
      <c r="P73" s="508"/>
      <c r="Q73" s="508"/>
      <c r="R73" s="508"/>
      <c r="S73" s="508"/>
      <c r="T73" s="508"/>
      <c r="U73" s="508">
        <v>15</v>
      </c>
      <c r="V73" s="509">
        <v>24746.192893401014</v>
      </c>
      <c r="W73" s="509">
        <v>23096.446700507615</v>
      </c>
    </row>
    <row r="74" spans="1:23" ht="26.25" customHeight="1">
      <c r="A74" s="508">
        <v>67</v>
      </c>
      <c r="B74" s="508" t="s">
        <v>824</v>
      </c>
      <c r="C74" s="508">
        <v>30</v>
      </c>
      <c r="D74" s="508" t="s">
        <v>735</v>
      </c>
      <c r="E74" s="508">
        <v>22000</v>
      </c>
      <c r="F74" s="508">
        <v>1015.228426395939</v>
      </c>
      <c r="G74" s="508">
        <v>30</v>
      </c>
      <c r="H74" s="508">
        <v>60</v>
      </c>
      <c r="I74" s="508"/>
      <c r="J74" s="508"/>
      <c r="K74" s="508"/>
      <c r="L74" s="508"/>
      <c r="M74" s="508"/>
      <c r="N74" s="508"/>
      <c r="O74" s="508"/>
      <c r="P74" s="508"/>
      <c r="Q74" s="508"/>
      <c r="R74" s="508"/>
      <c r="S74" s="508"/>
      <c r="T74" s="508"/>
      <c r="U74" s="508">
        <v>60</v>
      </c>
      <c r="V74" s="509">
        <v>60913.705583756338</v>
      </c>
      <c r="W74" s="509"/>
    </row>
    <row r="75" spans="1:23" ht="26.25" customHeight="1">
      <c r="A75" s="508">
        <v>68</v>
      </c>
      <c r="B75" s="508" t="s">
        <v>825</v>
      </c>
      <c r="C75" s="508">
        <v>5</v>
      </c>
      <c r="D75" s="508" t="s">
        <v>807</v>
      </c>
      <c r="E75" s="508">
        <v>29370</v>
      </c>
      <c r="F75" s="508">
        <v>1355.3299492385786</v>
      </c>
      <c r="G75" s="508">
        <v>30</v>
      </c>
      <c r="H75" s="508">
        <v>35</v>
      </c>
      <c r="I75" s="508">
        <v>10</v>
      </c>
      <c r="J75" s="508"/>
      <c r="K75" s="508"/>
      <c r="L75" s="508"/>
      <c r="M75" s="508"/>
      <c r="N75" s="508"/>
      <c r="O75" s="508"/>
      <c r="P75" s="508"/>
      <c r="Q75" s="508"/>
      <c r="R75" s="508"/>
      <c r="S75" s="508"/>
      <c r="T75" s="508"/>
      <c r="U75" s="508">
        <v>25</v>
      </c>
      <c r="V75" s="509">
        <v>33883.248730964464</v>
      </c>
      <c r="W75" s="509"/>
    </row>
    <row r="76" spans="1:23" ht="26.25" customHeight="1">
      <c r="A76" s="508">
        <v>69</v>
      </c>
      <c r="B76" s="508" t="s">
        <v>826</v>
      </c>
      <c r="C76" s="508">
        <v>10</v>
      </c>
      <c r="D76" s="508" t="s">
        <v>790</v>
      </c>
      <c r="E76" s="508">
        <v>45000</v>
      </c>
      <c r="F76" s="508">
        <v>2076.6035994462391</v>
      </c>
      <c r="G76" s="508">
        <v>30</v>
      </c>
      <c r="H76" s="508">
        <v>40</v>
      </c>
      <c r="I76" s="508">
        <v>1</v>
      </c>
      <c r="J76" s="508"/>
      <c r="K76" s="508"/>
      <c r="L76" s="508"/>
      <c r="M76" s="508"/>
      <c r="N76" s="508"/>
      <c r="O76" s="508"/>
      <c r="P76" s="508"/>
      <c r="Q76" s="508"/>
      <c r="R76" s="508"/>
      <c r="S76" s="508"/>
      <c r="T76" s="508"/>
      <c r="U76" s="508">
        <v>39</v>
      </c>
      <c r="V76" s="509">
        <v>80987.540378403326</v>
      </c>
      <c r="W76" s="509">
        <v>1015.228426395939</v>
      </c>
    </row>
    <row r="77" spans="1:23" ht="26.25" customHeight="1">
      <c r="A77" s="508">
        <v>70</v>
      </c>
      <c r="B77" s="508" t="s">
        <v>827</v>
      </c>
      <c r="C77" s="508">
        <v>0</v>
      </c>
      <c r="D77" s="508" t="s">
        <v>807</v>
      </c>
      <c r="E77" s="508">
        <v>27500</v>
      </c>
      <c r="F77" s="508">
        <v>1269.0355329949239</v>
      </c>
      <c r="G77" s="508">
        <v>15</v>
      </c>
      <c r="H77" s="508">
        <v>15</v>
      </c>
      <c r="I77" s="508"/>
      <c r="J77" s="508"/>
      <c r="K77" s="508"/>
      <c r="L77" s="508"/>
      <c r="M77" s="508"/>
      <c r="N77" s="508"/>
      <c r="O77" s="508"/>
      <c r="P77" s="508"/>
      <c r="Q77" s="508"/>
      <c r="R77" s="508"/>
      <c r="S77" s="508"/>
      <c r="T77" s="508"/>
      <c r="U77" s="508">
        <v>15</v>
      </c>
      <c r="V77" s="509">
        <v>19035.532994923858</v>
      </c>
      <c r="W77" s="509"/>
    </row>
    <row r="78" spans="1:23" ht="26.25" customHeight="1">
      <c r="A78" s="508">
        <v>71</v>
      </c>
      <c r="B78" s="508" t="s">
        <v>828</v>
      </c>
      <c r="C78" s="508">
        <v>6</v>
      </c>
      <c r="D78" s="508" t="s">
        <v>829</v>
      </c>
      <c r="E78" s="508">
        <v>380000</v>
      </c>
      <c r="F78" s="508">
        <v>17535.76372865713</v>
      </c>
      <c r="G78" s="508">
        <v>30</v>
      </c>
      <c r="H78" s="508">
        <v>36</v>
      </c>
      <c r="I78" s="508"/>
      <c r="J78" s="508"/>
      <c r="K78" s="508"/>
      <c r="L78" s="508"/>
      <c r="M78" s="508"/>
      <c r="N78" s="508"/>
      <c r="O78" s="508"/>
      <c r="P78" s="508"/>
      <c r="Q78" s="508"/>
      <c r="R78" s="508"/>
      <c r="S78" s="508"/>
      <c r="T78" s="508"/>
      <c r="U78" s="508">
        <v>36</v>
      </c>
      <c r="V78" s="509">
        <v>631287.49423165666</v>
      </c>
      <c r="W78" s="509"/>
    </row>
    <row r="79" spans="1:23" ht="26.25" customHeight="1">
      <c r="A79" s="508">
        <v>72</v>
      </c>
      <c r="B79" s="508" t="s">
        <v>830</v>
      </c>
      <c r="C79" s="508">
        <v>0</v>
      </c>
      <c r="D79" s="508" t="s">
        <v>398</v>
      </c>
      <c r="E79" s="508">
        <v>120000</v>
      </c>
      <c r="F79" s="508">
        <v>5537.6095985233032</v>
      </c>
      <c r="G79" s="508">
        <v>30</v>
      </c>
      <c r="H79" s="508">
        <v>30</v>
      </c>
      <c r="I79" s="508"/>
      <c r="J79" s="508"/>
      <c r="K79" s="508"/>
      <c r="L79" s="508"/>
      <c r="M79" s="508"/>
      <c r="N79" s="508"/>
      <c r="O79" s="508"/>
      <c r="P79" s="508"/>
      <c r="Q79" s="508"/>
      <c r="R79" s="508"/>
      <c r="S79" s="508"/>
      <c r="T79" s="508"/>
      <c r="U79" s="508">
        <v>30</v>
      </c>
      <c r="V79" s="509">
        <v>166128.28795569911</v>
      </c>
      <c r="W79" s="509"/>
    </row>
    <row r="80" spans="1:23" ht="26.25" customHeight="1">
      <c r="A80" s="508">
        <v>73</v>
      </c>
      <c r="B80" s="508" t="s">
        <v>831</v>
      </c>
      <c r="C80" s="508">
        <v>0</v>
      </c>
      <c r="D80" s="508" t="s">
        <v>730</v>
      </c>
      <c r="E80" s="508">
        <v>66000</v>
      </c>
      <c r="F80" s="508">
        <v>3045.6852791878168</v>
      </c>
      <c r="G80" s="508">
        <v>30</v>
      </c>
      <c r="H80" s="508">
        <v>30</v>
      </c>
      <c r="I80" s="508"/>
      <c r="J80" s="508"/>
      <c r="K80" s="508"/>
      <c r="L80" s="508"/>
      <c r="M80" s="508"/>
      <c r="N80" s="508"/>
      <c r="O80" s="508"/>
      <c r="P80" s="508"/>
      <c r="Q80" s="508"/>
      <c r="R80" s="508"/>
      <c r="S80" s="508"/>
      <c r="T80" s="508"/>
      <c r="U80" s="508">
        <v>30</v>
      </c>
      <c r="V80" s="509">
        <v>91370.5583756345</v>
      </c>
      <c r="W80" s="509"/>
    </row>
    <row r="81" spans="1:23" ht="26.25" customHeight="1">
      <c r="A81" s="508">
        <v>74</v>
      </c>
      <c r="B81" s="508" t="s">
        <v>832</v>
      </c>
      <c r="C81" s="508">
        <v>15</v>
      </c>
      <c r="D81" s="508" t="s">
        <v>735</v>
      </c>
      <c r="E81" s="508">
        <v>20000</v>
      </c>
      <c r="F81" s="508">
        <v>922.93493308721725</v>
      </c>
      <c r="G81" s="508">
        <v>15</v>
      </c>
      <c r="H81" s="508">
        <v>30</v>
      </c>
      <c r="I81" s="508"/>
      <c r="J81" s="508"/>
      <c r="K81" s="508"/>
      <c r="L81" s="508"/>
      <c r="M81" s="508"/>
      <c r="N81" s="508"/>
      <c r="O81" s="508"/>
      <c r="P81" s="508"/>
      <c r="Q81" s="508"/>
      <c r="R81" s="508"/>
      <c r="S81" s="508"/>
      <c r="T81" s="508"/>
      <c r="U81" s="508">
        <v>30</v>
      </c>
      <c r="V81" s="509">
        <v>27688.047992616517</v>
      </c>
      <c r="W81" s="509"/>
    </row>
    <row r="82" spans="1:23" ht="26.25" customHeight="1">
      <c r="A82" s="508">
        <v>75</v>
      </c>
      <c r="B82" s="508" t="s">
        <v>833</v>
      </c>
      <c r="C82" s="508">
        <v>5</v>
      </c>
      <c r="D82" s="508" t="s">
        <v>834</v>
      </c>
      <c r="E82" s="508">
        <v>100000</v>
      </c>
      <c r="F82" s="508">
        <v>4614.6746654360868</v>
      </c>
      <c r="G82" s="508">
        <v>25</v>
      </c>
      <c r="H82" s="508">
        <v>30</v>
      </c>
      <c r="I82" s="508"/>
      <c r="J82" s="508"/>
      <c r="K82" s="508"/>
      <c r="L82" s="508"/>
      <c r="M82" s="508"/>
      <c r="N82" s="508"/>
      <c r="O82" s="508"/>
      <c r="P82" s="508"/>
      <c r="Q82" s="508"/>
      <c r="R82" s="508"/>
      <c r="S82" s="508"/>
      <c r="T82" s="508"/>
      <c r="U82" s="508">
        <v>30</v>
      </c>
      <c r="V82" s="509">
        <v>138440.2399630826</v>
      </c>
      <c r="W82" s="509"/>
    </row>
    <row r="83" spans="1:23" ht="26.25" customHeight="1">
      <c r="A83" s="508">
        <v>76</v>
      </c>
      <c r="B83" s="508" t="s">
        <v>835</v>
      </c>
      <c r="C83" s="508">
        <v>20</v>
      </c>
      <c r="D83" s="508" t="s">
        <v>774</v>
      </c>
      <c r="E83" s="508">
        <v>66000</v>
      </c>
      <c r="F83" s="508">
        <v>3045.6852791878168</v>
      </c>
      <c r="G83" s="508">
        <v>30</v>
      </c>
      <c r="H83" s="508">
        <v>50</v>
      </c>
      <c r="I83" s="508"/>
      <c r="J83" s="508"/>
      <c r="K83" s="508"/>
      <c r="L83" s="508"/>
      <c r="M83" s="508"/>
      <c r="N83" s="508"/>
      <c r="O83" s="508"/>
      <c r="P83" s="508"/>
      <c r="Q83" s="508"/>
      <c r="R83" s="508"/>
      <c r="S83" s="508"/>
      <c r="T83" s="508"/>
      <c r="U83" s="508">
        <v>50</v>
      </c>
      <c r="V83" s="509">
        <v>152284.26395939084</v>
      </c>
      <c r="W83" s="509"/>
    </row>
    <row r="84" spans="1:23" ht="26.25" customHeight="1">
      <c r="A84" s="508">
        <v>77</v>
      </c>
      <c r="B84" s="508" t="s">
        <v>836</v>
      </c>
      <c r="C84" s="508">
        <v>0</v>
      </c>
      <c r="D84" s="508" t="s">
        <v>837</v>
      </c>
      <c r="E84" s="508">
        <v>170000</v>
      </c>
      <c r="F84" s="508">
        <v>7844.9469312413466</v>
      </c>
      <c r="G84" s="508">
        <v>30</v>
      </c>
      <c r="H84" s="508">
        <v>30</v>
      </c>
      <c r="I84" s="508"/>
      <c r="J84" s="508"/>
      <c r="K84" s="508"/>
      <c r="L84" s="508"/>
      <c r="M84" s="508"/>
      <c r="N84" s="508"/>
      <c r="O84" s="508"/>
      <c r="P84" s="508"/>
      <c r="Q84" s="508"/>
      <c r="R84" s="508"/>
      <c r="S84" s="508"/>
      <c r="T84" s="508"/>
      <c r="U84" s="508">
        <v>30</v>
      </c>
      <c r="V84" s="509">
        <v>235348.40793724041</v>
      </c>
      <c r="W84" s="509"/>
    </row>
    <row r="85" spans="1:23" ht="26.25" customHeight="1">
      <c r="A85" s="508">
        <v>78</v>
      </c>
      <c r="B85" s="508" t="s">
        <v>838</v>
      </c>
      <c r="C85" s="508">
        <v>9</v>
      </c>
      <c r="D85" s="508" t="s">
        <v>735</v>
      </c>
      <c r="E85" s="508">
        <v>22000</v>
      </c>
      <c r="F85" s="508">
        <v>1015.228426395939</v>
      </c>
      <c r="G85" s="508">
        <v>15</v>
      </c>
      <c r="H85" s="508">
        <v>24</v>
      </c>
      <c r="I85" s="508"/>
      <c r="J85" s="508"/>
      <c r="K85" s="508"/>
      <c r="L85" s="508"/>
      <c r="M85" s="508"/>
      <c r="N85" s="508"/>
      <c r="O85" s="508"/>
      <c r="P85" s="508"/>
      <c r="Q85" s="508"/>
      <c r="R85" s="508"/>
      <c r="S85" s="508"/>
      <c r="T85" s="508"/>
      <c r="U85" s="508">
        <v>24</v>
      </c>
      <c r="V85" s="509">
        <v>24365.482233502535</v>
      </c>
      <c r="W85" s="509"/>
    </row>
    <row r="86" spans="1:23" ht="26.25" customHeight="1">
      <c r="A86" s="508">
        <v>79</v>
      </c>
      <c r="B86" s="508" t="s">
        <v>839</v>
      </c>
      <c r="C86" s="508">
        <v>1</v>
      </c>
      <c r="D86" s="508" t="s">
        <v>398</v>
      </c>
      <c r="E86" s="508">
        <v>115000</v>
      </c>
      <c r="F86" s="508">
        <v>5306.8758652514989</v>
      </c>
      <c r="G86" s="508">
        <v>20</v>
      </c>
      <c r="H86" s="508">
        <v>21</v>
      </c>
      <c r="I86" s="508">
        <v>7</v>
      </c>
      <c r="J86" s="508"/>
      <c r="K86" s="508"/>
      <c r="L86" s="508"/>
      <c r="M86" s="508"/>
      <c r="N86" s="508"/>
      <c r="O86" s="508"/>
      <c r="P86" s="508"/>
      <c r="Q86" s="508"/>
      <c r="R86" s="508"/>
      <c r="S86" s="508"/>
      <c r="T86" s="508"/>
      <c r="U86" s="508">
        <v>14</v>
      </c>
      <c r="V86" s="509">
        <v>74296.262113520992</v>
      </c>
      <c r="W86" s="509">
        <v>37148.131056760496</v>
      </c>
    </row>
    <row r="87" spans="1:23" ht="26.25" customHeight="1">
      <c r="A87" s="508">
        <v>80</v>
      </c>
      <c r="B87" s="508" t="s">
        <v>840</v>
      </c>
      <c r="C87" s="508">
        <v>5</v>
      </c>
      <c r="D87" s="508" t="s">
        <v>745</v>
      </c>
      <c r="E87" s="508">
        <v>27500</v>
      </c>
      <c r="F87" s="508">
        <v>1269.0355329949239</v>
      </c>
      <c r="G87" s="508">
        <v>30</v>
      </c>
      <c r="H87" s="508">
        <v>35</v>
      </c>
      <c r="I87" s="508"/>
      <c r="J87" s="508"/>
      <c r="K87" s="508"/>
      <c r="L87" s="508"/>
      <c r="M87" s="508"/>
      <c r="N87" s="508"/>
      <c r="O87" s="508"/>
      <c r="P87" s="508"/>
      <c r="Q87" s="508"/>
      <c r="R87" s="508"/>
      <c r="S87" s="508"/>
      <c r="T87" s="508"/>
      <c r="U87" s="508">
        <v>35</v>
      </c>
      <c r="V87" s="509">
        <v>44416.243654822334</v>
      </c>
      <c r="W87" s="509"/>
    </row>
    <row r="88" spans="1:23" ht="26.25" customHeight="1">
      <c r="A88" s="508">
        <v>81</v>
      </c>
      <c r="B88" s="508" t="s">
        <v>841</v>
      </c>
      <c r="C88" s="508">
        <v>7</v>
      </c>
      <c r="D88" s="508" t="s">
        <v>772</v>
      </c>
      <c r="E88" s="508">
        <v>22000</v>
      </c>
      <c r="F88" s="508">
        <v>1015.228426395939</v>
      </c>
      <c r="G88" s="508">
        <v>15</v>
      </c>
      <c r="H88" s="508">
        <v>22</v>
      </c>
      <c r="I88" s="508">
        <v>1</v>
      </c>
      <c r="J88" s="508"/>
      <c r="K88" s="508"/>
      <c r="L88" s="508"/>
      <c r="M88" s="508"/>
      <c r="N88" s="508"/>
      <c r="O88" s="508"/>
      <c r="P88" s="508"/>
      <c r="Q88" s="508"/>
      <c r="R88" s="508"/>
      <c r="S88" s="508"/>
      <c r="T88" s="508"/>
      <c r="U88" s="508">
        <v>21</v>
      </c>
      <c r="V88" s="509">
        <v>21319.796954314719</v>
      </c>
      <c r="W88" s="509">
        <v>1015.228426395939</v>
      </c>
    </row>
    <row r="89" spans="1:23" ht="26.25" customHeight="1">
      <c r="A89" s="508">
        <v>82</v>
      </c>
      <c r="B89" s="508" t="s">
        <v>842</v>
      </c>
      <c r="C89" s="508">
        <v>1</v>
      </c>
      <c r="D89" s="508" t="s">
        <v>730</v>
      </c>
      <c r="E89" s="508">
        <v>80000</v>
      </c>
      <c r="F89" s="508">
        <v>3691.739732348869</v>
      </c>
      <c r="G89" s="508">
        <v>25</v>
      </c>
      <c r="H89" s="508">
        <v>26</v>
      </c>
      <c r="I89" s="508"/>
      <c r="J89" s="508"/>
      <c r="K89" s="508"/>
      <c r="L89" s="508"/>
      <c r="M89" s="508"/>
      <c r="N89" s="508"/>
      <c r="O89" s="508"/>
      <c r="P89" s="508"/>
      <c r="Q89" s="508"/>
      <c r="R89" s="508"/>
      <c r="S89" s="508"/>
      <c r="T89" s="508"/>
      <c r="U89" s="508">
        <v>26</v>
      </c>
      <c r="V89" s="509">
        <v>95985.233041070591</v>
      </c>
      <c r="W89" s="509"/>
    </row>
    <row r="90" spans="1:23" ht="24.75" customHeight="1">
      <c r="A90" s="514"/>
      <c r="B90" s="514"/>
      <c r="C90" s="514"/>
      <c r="D90" s="514"/>
      <c r="E90" s="514"/>
      <c r="F90" s="514"/>
      <c r="G90" s="514"/>
      <c r="H90" s="514"/>
      <c r="I90" s="514"/>
      <c r="J90" s="514"/>
      <c r="K90" s="514"/>
      <c r="L90" s="514"/>
      <c r="M90" s="514"/>
      <c r="N90" s="514"/>
      <c r="O90" s="514"/>
      <c r="P90" s="514"/>
      <c r="Q90" s="514"/>
      <c r="R90" s="514"/>
      <c r="S90" s="514"/>
      <c r="T90" s="514"/>
      <c r="U90" s="514"/>
      <c r="V90" s="515">
        <v>11352549.607752657</v>
      </c>
      <c r="W90" s="515">
        <v>519381.63359483151</v>
      </c>
    </row>
    <row r="91" spans="1:23" ht="24.75" customHeight="1">
      <c r="A91" s="514"/>
      <c r="B91" s="514"/>
      <c r="C91" s="514"/>
      <c r="D91" s="514"/>
      <c r="E91" s="514"/>
      <c r="F91" s="514"/>
      <c r="G91" s="514"/>
      <c r="H91" s="514"/>
      <c r="I91" s="514"/>
      <c r="J91" s="514"/>
      <c r="K91" s="514"/>
      <c r="L91" s="514"/>
      <c r="M91" s="514"/>
      <c r="N91" s="514"/>
      <c r="O91" s="514"/>
      <c r="P91" s="514"/>
      <c r="Q91" s="514"/>
      <c r="R91" s="514"/>
      <c r="S91" s="514"/>
      <c r="T91" s="514"/>
      <c r="U91" s="514"/>
      <c r="V91" s="528" t="s">
        <v>843</v>
      </c>
      <c r="W91" s="528"/>
    </row>
    <row r="92" spans="1:23" ht="24.75" customHeight="1">
      <c r="A92" s="514"/>
      <c r="B92" s="514"/>
      <c r="C92" s="514"/>
      <c r="D92" s="514"/>
      <c r="E92" s="514"/>
      <c r="F92" s="514"/>
      <c r="G92" s="514"/>
      <c r="H92" s="514"/>
      <c r="I92" s="514"/>
      <c r="J92" s="514"/>
      <c r="K92" s="514"/>
      <c r="L92" s="514"/>
      <c r="M92" s="514"/>
      <c r="N92" s="514"/>
      <c r="O92" s="514"/>
      <c r="P92" s="514"/>
      <c r="Q92" s="514"/>
      <c r="R92" s="514"/>
      <c r="S92" s="514"/>
      <c r="T92" s="514"/>
      <c r="U92" s="529" t="s">
        <v>697</v>
      </c>
      <c r="V92" s="515">
        <v>946045.80064605467</v>
      </c>
      <c r="W92" s="515">
        <v>519381.63359483151</v>
      </c>
    </row>
    <row r="93" spans="1:23" ht="12.75" customHeight="1">
      <c r="U93" s="530"/>
      <c r="V93" s="512"/>
      <c r="W93" s="512"/>
    </row>
    <row r="94" spans="1:23" ht="17.399999999999999">
      <c r="U94" s="530" t="s">
        <v>844</v>
      </c>
      <c r="V94" s="531">
        <f>+V92-W92</f>
        <v>426664.16705122316</v>
      </c>
    </row>
  </sheetData>
  <pageMargins left="0.51181102362204722" right="0" top="0.74803149606299213" bottom="0.74803149606299213" header="0.31496062992125984" footer="0.31496062992125984"/>
  <pageSetup scale="30" orientation="portrait" horizont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</sheetPr>
  <dimension ref="B1:I265"/>
  <sheetViews>
    <sheetView topLeftCell="A53" zoomScale="110" zoomScaleNormal="110" zoomScaleSheetLayoutView="80" workbookViewId="0">
      <selection activeCell="F62" sqref="F62"/>
    </sheetView>
  </sheetViews>
  <sheetFormatPr baseColWidth="10" defaultColWidth="11.5546875" defaultRowHeight="15.6"/>
  <cols>
    <col min="1" max="1" width="3.6640625" style="1" customWidth="1"/>
    <col min="2" max="2" width="68.109375" style="1" customWidth="1"/>
    <col min="3" max="3" width="12.109375" style="17" customWidth="1"/>
    <col min="4" max="5" width="28.6640625" style="2" customWidth="1"/>
    <col min="6" max="6" width="24.6640625" style="2" bestFit="1" customWidth="1"/>
    <col min="7" max="7" width="11.5546875" style="1"/>
    <col min="8" max="8" width="20.33203125" style="2" bestFit="1" customWidth="1"/>
    <col min="9" max="16384" width="11.5546875" style="1"/>
  </cols>
  <sheetData>
    <row r="1" spans="2:6">
      <c r="B1" s="43"/>
      <c r="C1" s="44"/>
      <c r="D1" s="45"/>
      <c r="E1" s="45"/>
      <c r="F1" s="45"/>
    </row>
    <row r="2" spans="2:6">
      <c r="D2" s="1"/>
      <c r="E2" s="1"/>
      <c r="F2" s="1"/>
    </row>
    <row r="3" spans="2:6">
      <c r="D3" s="1"/>
      <c r="E3" s="1"/>
      <c r="F3" s="1"/>
    </row>
    <row r="4" spans="2:6">
      <c r="D4" s="1"/>
      <c r="E4" s="1"/>
      <c r="F4" s="1"/>
    </row>
    <row r="5" spans="2:6">
      <c r="D5" s="1"/>
      <c r="E5" s="1"/>
      <c r="F5" s="1"/>
    </row>
    <row r="6" spans="2:6" ht="24.75" customHeight="1">
      <c r="B6" s="15" t="s">
        <v>66</v>
      </c>
      <c r="C6" s="47"/>
      <c r="D6" s="15"/>
      <c r="E6" s="15"/>
      <c r="F6" s="15"/>
    </row>
    <row r="7" spans="2:6" ht="24.75" customHeight="1">
      <c r="B7" s="15" t="s">
        <v>3</v>
      </c>
      <c r="C7" s="47"/>
      <c r="D7" s="15"/>
      <c r="E7" s="15"/>
      <c r="F7" s="15"/>
    </row>
    <row r="8" spans="2:6" ht="24.75" customHeight="1">
      <c r="B8" s="15" t="s">
        <v>67</v>
      </c>
      <c r="C8" s="47"/>
      <c r="D8" s="15"/>
      <c r="E8" s="15"/>
      <c r="F8" s="15"/>
    </row>
    <row r="9" spans="2:6" ht="24.75" customHeight="1">
      <c r="B9" s="15"/>
      <c r="C9" s="316" t="s">
        <v>5</v>
      </c>
      <c r="D9" s="316" t="s">
        <v>6</v>
      </c>
      <c r="E9" s="316" t="s">
        <v>7</v>
      </c>
      <c r="F9" s="316" t="s">
        <v>8</v>
      </c>
    </row>
    <row r="10" spans="2:6" ht="20.100000000000001" customHeight="1">
      <c r="B10" s="15"/>
      <c r="C10" s="47"/>
      <c r="D10" s="15"/>
      <c r="E10" s="15"/>
      <c r="F10" s="15"/>
    </row>
    <row r="11" spans="2:6" ht="20.100000000000001" customHeight="1">
      <c r="D11" s="1"/>
      <c r="E11" s="1"/>
      <c r="F11" s="1"/>
    </row>
    <row r="12" spans="2:6" ht="24.75" customHeight="1">
      <c r="B12" s="15" t="s">
        <v>68</v>
      </c>
      <c r="C12" s="47">
        <v>1</v>
      </c>
      <c r="D12" s="1"/>
      <c r="E12" s="1"/>
      <c r="F12" s="1"/>
    </row>
    <row r="13" spans="2:6" ht="15.75" hidden="1" customHeight="1">
      <c r="B13" s="1" t="s">
        <v>69</v>
      </c>
      <c r="D13" s="49">
        <f>+'Cédula Nota 1'!D9</f>
        <v>0</v>
      </c>
      <c r="E13" s="49">
        <v>0</v>
      </c>
      <c r="F13" s="49">
        <f t="shared" ref="F13:F18" si="0">D13-E13</f>
        <v>0</v>
      </c>
    </row>
    <row r="14" spans="2:6" ht="20.100000000000001" customHeight="1">
      <c r="B14" s="1" t="s">
        <v>70</v>
      </c>
      <c r="D14" s="49">
        <f>+'Cédula Nota 1'!D10</f>
        <v>200000</v>
      </c>
      <c r="E14" s="49">
        <v>200000</v>
      </c>
      <c r="F14" s="49">
        <f t="shared" si="0"/>
        <v>0</v>
      </c>
    </row>
    <row r="15" spans="2:6" ht="20.100000000000001" customHeight="1">
      <c r="B15" s="1" t="s">
        <v>71</v>
      </c>
      <c r="D15" s="49">
        <f>+'Cédula Nota 1'!D11</f>
        <v>490027440.88999999</v>
      </c>
      <c r="E15" s="49">
        <v>525335618.16000003</v>
      </c>
      <c r="F15" s="49">
        <f t="shared" si="0"/>
        <v>-35308177.270000041</v>
      </c>
    </row>
    <row r="16" spans="2:6" ht="20.100000000000001" customHeight="1">
      <c r="B16" s="1" t="s">
        <v>72</v>
      </c>
      <c r="D16" s="49">
        <f>+'Cédula Nota 1'!D12</f>
        <v>47381.33</v>
      </c>
      <c r="E16" s="49">
        <v>47556.32</v>
      </c>
      <c r="F16" s="49">
        <f t="shared" si="0"/>
        <v>-174.98999999999796</v>
      </c>
    </row>
    <row r="17" spans="2:6" ht="20.100000000000001" customHeight="1">
      <c r="B17" s="1" t="s">
        <v>73</v>
      </c>
      <c r="D17" s="49">
        <f>+'Cédula Nota 1'!D13</f>
        <v>18143.84</v>
      </c>
      <c r="E17" s="49">
        <v>18143.84</v>
      </c>
      <c r="F17" s="49">
        <f t="shared" si="0"/>
        <v>0</v>
      </c>
    </row>
    <row r="18" spans="2:6" ht="20.100000000000001" customHeight="1">
      <c r="B18" s="1" t="s">
        <v>74</v>
      </c>
      <c r="D18" s="49">
        <f>+'Cédula Nota 1'!D14</f>
        <v>1064136.216</v>
      </c>
      <c r="E18" s="49">
        <v>1051435.5280000002</v>
      </c>
      <c r="F18" s="49">
        <f t="shared" si="0"/>
        <v>12700.687999999849</v>
      </c>
    </row>
    <row r="19" spans="2:6" ht="20.100000000000001" customHeight="1">
      <c r="C19" s="317" t="s">
        <v>75</v>
      </c>
      <c r="D19" s="49"/>
      <c r="E19" s="49"/>
      <c r="F19" s="49"/>
    </row>
    <row r="20" spans="2:6" ht="20.100000000000001" customHeight="1">
      <c r="B20" s="15" t="s">
        <v>76</v>
      </c>
      <c r="C20" s="47" t="s">
        <v>77</v>
      </c>
      <c r="D20" s="50">
        <f>SUM(D13:D18)</f>
        <v>491357102.27599996</v>
      </c>
      <c r="E20" s="50">
        <f>SUM(E13:E18)</f>
        <v>526652753.84799999</v>
      </c>
      <c r="F20" s="50">
        <f>SUM(F13:F18)</f>
        <v>-35295651.572000042</v>
      </c>
    </row>
    <row r="21" spans="2:6" ht="20.100000000000001" customHeight="1">
      <c r="C21" s="17" t="s">
        <v>77</v>
      </c>
      <c r="D21" s="49"/>
      <c r="E21" s="49"/>
      <c r="F21" s="49"/>
    </row>
    <row r="22" spans="2:6" ht="20.100000000000001" customHeight="1">
      <c r="C22" s="17" t="s">
        <v>77</v>
      </c>
      <c r="D22" s="49"/>
      <c r="E22" s="49"/>
      <c r="F22" s="49"/>
    </row>
    <row r="23" spans="2:6" ht="24.75" customHeight="1">
      <c r="B23" s="15" t="s">
        <v>78</v>
      </c>
      <c r="C23" s="47">
        <v>2</v>
      </c>
      <c r="D23" s="1"/>
      <c r="E23" s="1"/>
      <c r="F23" s="1"/>
    </row>
    <row r="24" spans="2:6">
      <c r="B24" s="1" t="s">
        <v>79</v>
      </c>
      <c r="C24" s="17" t="s">
        <v>77</v>
      </c>
      <c r="D24" s="49">
        <f>+'Cédula Nota 2 '!E13</f>
        <v>1694470638.4000001</v>
      </c>
      <c r="E24" s="49">
        <v>1084686724.8199999</v>
      </c>
      <c r="F24" s="49">
        <f>D24-E24</f>
        <v>609783913.58000016</v>
      </c>
    </row>
    <row r="25" spans="2:6" hidden="1">
      <c r="B25" s="1" t="s">
        <v>80</v>
      </c>
      <c r="D25" s="49">
        <v>0</v>
      </c>
      <c r="E25" s="49">
        <v>0</v>
      </c>
      <c r="F25" s="49">
        <f>D25-E25</f>
        <v>0</v>
      </c>
    </row>
    <row r="26" spans="2:6" hidden="1">
      <c r="B26" s="1" t="s">
        <v>81</v>
      </c>
      <c r="C26" s="17" t="s">
        <v>77</v>
      </c>
      <c r="D26" s="49">
        <v>0</v>
      </c>
      <c r="E26" s="49">
        <v>0</v>
      </c>
      <c r="F26" s="49">
        <f>D26-E26</f>
        <v>0</v>
      </c>
    </row>
    <row r="27" spans="2:6">
      <c r="C27" s="317" t="s">
        <v>75</v>
      </c>
      <c r="D27" s="49"/>
      <c r="E27" s="49"/>
      <c r="F27" s="49"/>
    </row>
    <row r="28" spans="2:6" ht="20.100000000000001" customHeight="1">
      <c r="B28" s="15" t="s">
        <v>82</v>
      </c>
      <c r="C28" s="47" t="s">
        <v>77</v>
      </c>
      <c r="D28" s="50">
        <f>+D24</f>
        <v>1694470638.4000001</v>
      </c>
      <c r="E28" s="50">
        <f>SUM(E24:E27)</f>
        <v>1084686724.8199999</v>
      </c>
      <c r="F28" s="50">
        <f>+D28-E28</f>
        <v>609783913.58000016</v>
      </c>
    </row>
    <row r="29" spans="2:6" ht="20.100000000000001" customHeight="1">
      <c r="C29" s="17" t="s">
        <v>77</v>
      </c>
      <c r="D29" s="49"/>
      <c r="E29" s="49"/>
      <c r="F29" s="49"/>
    </row>
    <row r="30" spans="2:6" ht="20.100000000000001" customHeight="1">
      <c r="C30" s="17" t="s">
        <v>77</v>
      </c>
      <c r="D30" s="351"/>
      <c r="E30" s="49"/>
      <c r="F30" s="49"/>
    </row>
    <row r="31" spans="2:6" ht="16.2">
      <c r="B31" s="15" t="s">
        <v>83</v>
      </c>
      <c r="C31" s="47">
        <v>3</v>
      </c>
      <c r="D31" s="1"/>
      <c r="E31" s="1"/>
      <c r="F31" s="1"/>
    </row>
    <row r="32" spans="2:6">
      <c r="B32" s="1" t="s">
        <v>84</v>
      </c>
      <c r="C32" s="17" t="s">
        <v>77</v>
      </c>
      <c r="D32" s="49">
        <f>+'Nota 3 Resumen'!C9</f>
        <v>8126087.379999999</v>
      </c>
      <c r="E32" s="49">
        <v>8154033.1799999997</v>
      </c>
      <c r="F32" s="49">
        <f t="shared" ref="F32:F35" si="1">D32-E32</f>
        <v>-27945.800000000745</v>
      </c>
    </row>
    <row r="33" spans="2:6">
      <c r="B33" s="1" t="s">
        <v>85</v>
      </c>
      <c r="C33" s="17" t="s">
        <v>77</v>
      </c>
      <c r="D33" s="49">
        <f>+'Nota 3 Resumen'!C10</f>
        <v>3385491.92</v>
      </c>
      <c r="E33" s="49">
        <v>3807340.8029999998</v>
      </c>
      <c r="F33" s="49">
        <f t="shared" si="1"/>
        <v>-421848.88299999991</v>
      </c>
    </row>
    <row r="34" spans="2:6">
      <c r="B34" s="1" t="s">
        <v>86</v>
      </c>
      <c r="D34" s="49">
        <f>+'Nota 3 Resumen'!C12</f>
        <v>87795</v>
      </c>
      <c r="E34" s="49">
        <v>0</v>
      </c>
      <c r="F34" s="49">
        <f t="shared" si="1"/>
        <v>87795</v>
      </c>
    </row>
    <row r="35" spans="2:6">
      <c r="B35" s="1" t="s">
        <v>87</v>
      </c>
      <c r="C35" s="17" t="s">
        <v>77</v>
      </c>
      <c r="D35" s="49">
        <f>+'Nota 3 Resumen'!C13</f>
        <v>230805.06</v>
      </c>
      <c r="E35" s="49">
        <v>241776.53999999998</v>
      </c>
      <c r="F35" s="49">
        <f t="shared" si="1"/>
        <v>-10971.479999999981</v>
      </c>
    </row>
    <row r="36" spans="2:6" ht="20.100000000000001" customHeight="1">
      <c r="C36" s="317" t="s">
        <v>75</v>
      </c>
      <c r="D36" s="49"/>
      <c r="E36" s="49"/>
      <c r="F36" s="49"/>
    </row>
    <row r="37" spans="2:6" ht="20.100000000000001" customHeight="1">
      <c r="B37" s="15" t="s">
        <v>88</v>
      </c>
      <c r="C37" s="47" t="s">
        <v>77</v>
      </c>
      <c r="D37" s="50">
        <f>SUM(D32:D35)</f>
        <v>11830179.359999999</v>
      </c>
      <c r="E37" s="48">
        <f>SUM(E32:E35)</f>
        <v>12203150.522999998</v>
      </c>
      <c r="F37" s="50">
        <f>SUM(F32:F35)</f>
        <v>-372971.16300000064</v>
      </c>
    </row>
    <row r="38" spans="2:6" ht="20.100000000000001" customHeight="1">
      <c r="C38" s="17" t="s">
        <v>77</v>
      </c>
      <c r="D38" s="49"/>
      <c r="E38" s="49"/>
      <c r="F38" s="49"/>
    </row>
    <row r="39" spans="2:6" ht="20.100000000000001" customHeight="1">
      <c r="C39" s="17" t="s">
        <v>77</v>
      </c>
      <c r="D39" s="49"/>
      <c r="E39" s="49"/>
      <c r="F39" s="49"/>
    </row>
    <row r="40" spans="2:6" ht="24.75" customHeight="1">
      <c r="B40" s="15" t="s">
        <v>89</v>
      </c>
      <c r="C40" s="47">
        <v>4</v>
      </c>
      <c r="D40" s="1"/>
      <c r="E40" s="1"/>
      <c r="F40" s="1"/>
    </row>
    <row r="41" spans="2:6" ht="20.100000000000001" customHeight="1">
      <c r="B41" s="1" t="s">
        <v>90</v>
      </c>
      <c r="C41" s="47"/>
      <c r="D41" s="49">
        <f>+'NOTA 4  INVENTARIO'!C24</f>
        <v>2643372.23</v>
      </c>
      <c r="E41" s="49">
        <v>1933416.87</v>
      </c>
      <c r="F41" s="49">
        <f>D41-E41</f>
        <v>709955.35999999987</v>
      </c>
    </row>
    <row r="42" spans="2:6" ht="20.100000000000001" customHeight="1">
      <c r="B42" s="1" t="s">
        <v>91</v>
      </c>
      <c r="C42" s="47"/>
      <c r="D42" s="49">
        <f>+'NOTA 4  INVENTARIO'!C36</f>
        <v>802215.71000000008</v>
      </c>
      <c r="E42" s="49">
        <v>826278.66999999993</v>
      </c>
      <c r="F42" s="49">
        <f>D42-E42</f>
        <v>-24062.959999999846</v>
      </c>
    </row>
    <row r="43" spans="2:6" ht="20.100000000000001" customHeight="1">
      <c r="C43" s="317" t="s">
        <v>75</v>
      </c>
      <c r="D43" s="49"/>
      <c r="E43" s="49"/>
      <c r="F43" s="49"/>
    </row>
    <row r="44" spans="2:6" ht="20.100000000000001" customHeight="1">
      <c r="B44" s="15" t="s">
        <v>92</v>
      </c>
      <c r="C44" s="47" t="s">
        <v>77</v>
      </c>
      <c r="D44" s="50">
        <f>SUM(D41:D43)</f>
        <v>3445587.94</v>
      </c>
      <c r="E44" s="50">
        <f>SUM(E41:E43)</f>
        <v>2759695.54</v>
      </c>
      <c r="F44" s="50">
        <f>SUM(F41:F43)</f>
        <v>685892.4</v>
      </c>
    </row>
    <row r="45" spans="2:6" ht="20.100000000000001" customHeight="1">
      <c r="C45" s="318"/>
      <c r="D45" s="49"/>
      <c r="E45" s="49"/>
      <c r="F45" s="49"/>
    </row>
    <row r="46" spans="2:6" ht="20.100000000000001" customHeight="1">
      <c r="C46" s="318"/>
      <c r="D46" s="49"/>
      <c r="E46" s="49"/>
      <c r="F46" s="49"/>
    </row>
    <row r="47" spans="2:6" ht="24.75" customHeight="1">
      <c r="B47" s="15" t="s">
        <v>93</v>
      </c>
      <c r="C47" s="47">
        <v>5</v>
      </c>
      <c r="D47" s="1"/>
      <c r="E47" s="1"/>
      <c r="F47" s="1"/>
    </row>
    <row r="48" spans="2:6" ht="20.100000000000001" customHeight="1">
      <c r="B48" s="1" t="s">
        <v>94</v>
      </c>
      <c r="D48" s="49">
        <f>+'NOTA 5  GPA'!D9</f>
        <v>739985.59</v>
      </c>
      <c r="E48" s="49">
        <v>822206.21</v>
      </c>
      <c r="F48" s="49">
        <f>D48-E48</f>
        <v>-82220.62</v>
      </c>
    </row>
    <row r="49" spans="2:8" ht="20.100000000000001" customHeight="1">
      <c r="B49" s="1" t="s">
        <v>95</v>
      </c>
      <c r="D49" s="49">
        <f>+'NOTA 5  GPA'!D12+'NOTA 5  GPA'!D13+'NOTA 5  GPA'!D16</f>
        <v>1312983.3699999999</v>
      </c>
      <c r="E49" s="49">
        <v>1648883.3666666667</v>
      </c>
      <c r="F49" s="49">
        <f>D49-E49</f>
        <v>-335899.99666666682</v>
      </c>
    </row>
    <row r="50" spans="2:8" ht="20.100000000000001" customHeight="1">
      <c r="C50" s="317" t="s">
        <v>75</v>
      </c>
      <c r="D50" s="49"/>
      <c r="E50" s="49"/>
      <c r="F50" s="49"/>
    </row>
    <row r="51" spans="2:8" ht="20.100000000000001" customHeight="1">
      <c r="B51" s="15" t="s">
        <v>96</v>
      </c>
      <c r="C51" s="47" t="s">
        <v>77</v>
      </c>
      <c r="D51" s="50">
        <f>SUM(D48:D49)</f>
        <v>2052968.96</v>
      </c>
      <c r="E51" s="50">
        <f>SUM(E48:E49)</f>
        <v>2471089.5766666667</v>
      </c>
      <c r="F51" s="50">
        <f>SUM(F48:F49)</f>
        <v>-418120.61666666681</v>
      </c>
    </row>
    <row r="52" spans="2:8" ht="20.100000000000001" customHeight="1">
      <c r="C52" s="17" t="s">
        <v>77</v>
      </c>
      <c r="D52" s="49"/>
      <c r="E52" s="49"/>
      <c r="F52" s="49"/>
    </row>
    <row r="53" spans="2:8" ht="20.100000000000001" customHeight="1">
      <c r="D53" s="49"/>
      <c r="E53" s="49"/>
      <c r="F53" s="49"/>
    </row>
    <row r="54" spans="2:8" ht="20.100000000000001" customHeight="1">
      <c r="B54" s="15" t="s">
        <v>97</v>
      </c>
      <c r="C54" s="47">
        <v>6</v>
      </c>
      <c r="D54" s="1"/>
      <c r="E54" s="1"/>
      <c r="F54" s="1"/>
    </row>
    <row r="55" spans="2:8" ht="20.100000000000001" customHeight="1">
      <c r="B55" s="1" t="s">
        <v>98</v>
      </c>
      <c r="C55" s="47"/>
      <c r="D55" s="49">
        <v>695349700</v>
      </c>
      <c r="E55" s="49">
        <v>695349700</v>
      </c>
      <c r="F55" s="49">
        <f>+D55-E55</f>
        <v>0</v>
      </c>
    </row>
    <row r="56" spans="2:8" ht="20.100000000000001" customHeight="1">
      <c r="B56" s="1" t="s">
        <v>99</v>
      </c>
      <c r="C56" s="319"/>
      <c r="D56" s="49">
        <f>+-309771035.29+-49893711.42</f>
        <v>-359664746.71000004</v>
      </c>
      <c r="E56" s="49">
        <v>-359664746.71000004</v>
      </c>
      <c r="F56" s="49">
        <f>+D56-E56</f>
        <v>0</v>
      </c>
    </row>
    <row r="57" spans="2:8" ht="20.100000000000001" customHeight="1">
      <c r="B57" s="1" t="s">
        <v>100</v>
      </c>
      <c r="C57" s="320"/>
      <c r="D57" s="321">
        <v>34767485</v>
      </c>
      <c r="E57" s="321">
        <v>34767485</v>
      </c>
      <c r="F57" s="321">
        <f>+D57-E57</f>
        <v>0</v>
      </c>
    </row>
    <row r="58" spans="2:8" ht="24.75" customHeight="1">
      <c r="B58" s="15" t="s">
        <v>101</v>
      </c>
      <c r="C58" s="47"/>
      <c r="D58" s="50">
        <f>SUM(D55:D57)</f>
        <v>370452438.28999996</v>
      </c>
      <c r="E58" s="50">
        <f>SUM(E55:E57)</f>
        <v>370452438.28999996</v>
      </c>
      <c r="F58" s="50">
        <f>SUM(F55:F57)</f>
        <v>0</v>
      </c>
    </row>
    <row r="59" spans="2:8" ht="20.100000000000001" customHeight="1">
      <c r="B59" s="322"/>
      <c r="C59" s="47"/>
      <c r="D59" s="48"/>
      <c r="E59" s="48"/>
      <c r="F59" s="48"/>
    </row>
    <row r="60" spans="2:8" ht="20.100000000000001" customHeight="1">
      <c r="C60" s="47"/>
      <c r="D60" s="49"/>
      <c r="E60" s="48"/>
      <c r="F60" s="49"/>
    </row>
    <row r="61" spans="2:8" ht="20.100000000000001" customHeight="1">
      <c r="B61" s="1" t="s">
        <v>102</v>
      </c>
      <c r="C61" s="17" t="s">
        <v>77</v>
      </c>
      <c r="D61" s="49">
        <v>2816310100</v>
      </c>
      <c r="E61" s="49">
        <v>2816310100</v>
      </c>
      <c r="F61" s="49">
        <f>+D61-E61</f>
        <v>0</v>
      </c>
    </row>
    <row r="62" spans="2:8" ht="20.100000000000001" customHeight="1">
      <c r="B62" s="1" t="s">
        <v>99</v>
      </c>
      <c r="D62" s="49">
        <f>989942533.2-676148765+60653227.05</f>
        <v>374446995.25000006</v>
      </c>
      <c r="E62" s="49">
        <v>989942533.20000005</v>
      </c>
      <c r="F62" s="49">
        <f>+D62-E62</f>
        <v>-615495537.95000005</v>
      </c>
      <c r="H62" s="2">
        <f>+F62-'A-RESULTADOS ANEXOS'!F12</f>
        <v>-615495537.95000005</v>
      </c>
    </row>
    <row r="63" spans="2:8" ht="20.100000000000001" customHeight="1">
      <c r="B63" s="1" t="s">
        <v>100</v>
      </c>
      <c r="C63" s="323"/>
      <c r="D63" s="321">
        <v>281631010.64999998</v>
      </c>
      <c r="E63" s="321">
        <v>281631010.64999998</v>
      </c>
      <c r="F63" s="321">
        <f>+D63-E63</f>
        <v>0</v>
      </c>
    </row>
    <row r="64" spans="2:8" ht="20.100000000000001" customHeight="1">
      <c r="B64" s="15" t="s">
        <v>103</v>
      </c>
      <c r="C64" s="47"/>
      <c r="D64" s="50">
        <f>SUM(D61:D63)</f>
        <v>3472388105.9000001</v>
      </c>
      <c r="E64" s="50">
        <f>SUM(E61:E63)</f>
        <v>4087883643.8499999</v>
      </c>
      <c r="F64" s="50">
        <f>SUM(F61:F63)</f>
        <v>-615495537.95000005</v>
      </c>
    </row>
    <row r="65" spans="2:8" ht="20.100000000000001" customHeight="1">
      <c r="D65" s="49"/>
      <c r="E65" s="49"/>
      <c r="F65" s="49"/>
    </row>
    <row r="66" spans="2:8" ht="20.100000000000001" customHeight="1">
      <c r="D66" s="49"/>
      <c r="E66" s="49"/>
      <c r="F66" s="49"/>
    </row>
    <row r="67" spans="2:8" ht="20.100000000000001" customHeight="1">
      <c r="B67" s="1" t="s">
        <v>104</v>
      </c>
      <c r="D67" s="49">
        <v>251919000</v>
      </c>
      <c r="E67" s="49">
        <v>251919000</v>
      </c>
      <c r="F67" s="49">
        <f>+D67-E67</f>
        <v>0</v>
      </c>
    </row>
    <row r="68" spans="2:8" ht="20.100000000000001" customHeight="1">
      <c r="B68" s="1" t="s">
        <v>99</v>
      </c>
      <c r="D68" s="49">
        <f>2060843894.79+50287783.14</f>
        <v>2111131677.9300001</v>
      </c>
      <c r="E68" s="49">
        <v>2060843894.79</v>
      </c>
      <c r="F68" s="49">
        <f>+D68-E68</f>
        <v>50287783.140000105</v>
      </c>
      <c r="H68" s="2">
        <f>+F68-'A-RESULTADOS ANEXOS'!F13</f>
        <v>50287783.140000105</v>
      </c>
    </row>
    <row r="69" spans="2:8" ht="20.100000000000001" customHeight="1">
      <c r="B69" s="1" t="s">
        <v>100</v>
      </c>
      <c r="C69" s="323"/>
      <c r="D69" s="321">
        <v>25191900</v>
      </c>
      <c r="E69" s="321">
        <v>25191900</v>
      </c>
      <c r="F69" s="321">
        <f>+D69-E69</f>
        <v>0</v>
      </c>
    </row>
    <row r="70" spans="2:8" ht="20.100000000000001" customHeight="1">
      <c r="B70" s="15" t="s">
        <v>105</v>
      </c>
      <c r="C70" s="47"/>
      <c r="D70" s="50">
        <f>SUM(D67:D69)</f>
        <v>2388242577.9300003</v>
      </c>
      <c r="E70" s="50">
        <f>SUM(E67:E69)</f>
        <v>2337954794.79</v>
      </c>
      <c r="F70" s="50">
        <f>SUM(F67:F69)</f>
        <v>50287783.140000105</v>
      </c>
    </row>
    <row r="71" spans="2:8" ht="20.100000000000001" customHeight="1">
      <c r="D71" s="49"/>
      <c r="E71" s="49"/>
      <c r="F71" s="49"/>
    </row>
    <row r="72" spans="2:8" ht="20.100000000000001" customHeight="1">
      <c r="D72" s="49"/>
      <c r="E72" s="49"/>
      <c r="F72" s="49"/>
    </row>
    <row r="73" spans="2:8" ht="20.100000000000001" customHeight="1">
      <c r="B73" s="1" t="s">
        <v>106</v>
      </c>
      <c r="D73" s="49">
        <v>2297250000</v>
      </c>
      <c r="E73" s="49">
        <v>2297250000</v>
      </c>
      <c r="F73" s="49">
        <f t="shared" ref="F73:F85" si="2">D73-E73</f>
        <v>0</v>
      </c>
    </row>
    <row r="74" spans="2:8" ht="20.100000000000001" customHeight="1">
      <c r="B74" s="1" t="s">
        <v>99</v>
      </c>
      <c r="D74" s="49">
        <f>5858832680.62-78754498.23</f>
        <v>5780078182.3900003</v>
      </c>
      <c r="E74" s="49">
        <v>5858832680.6199999</v>
      </c>
      <c r="F74" s="49">
        <f t="shared" si="2"/>
        <v>-78754498.229999542</v>
      </c>
      <c r="H74" s="2">
        <f>+F74-'A-RESULTADOS ANEXOS'!F14</f>
        <v>-78754498.229999542</v>
      </c>
    </row>
    <row r="75" spans="2:8" ht="20.100000000000001" customHeight="1">
      <c r="B75" s="1" t="s">
        <v>100</v>
      </c>
      <c r="C75" s="323"/>
      <c r="D75" s="321">
        <v>229725000.47999999</v>
      </c>
      <c r="E75" s="321">
        <v>229725000.47999999</v>
      </c>
      <c r="F75" s="321">
        <f t="shared" si="2"/>
        <v>0</v>
      </c>
    </row>
    <row r="76" spans="2:8" ht="20.100000000000001" customHeight="1">
      <c r="B76" s="15" t="s">
        <v>107</v>
      </c>
      <c r="C76" s="47"/>
      <c r="D76" s="50">
        <f>SUM(D73:D75)</f>
        <v>8307053182.8699999</v>
      </c>
      <c r="E76" s="50">
        <f>SUM(E73:E75)</f>
        <v>8385807681.0999994</v>
      </c>
      <c r="F76" s="50">
        <f>SUM(F73:F75)</f>
        <v>-78754498.229999542</v>
      </c>
    </row>
    <row r="77" spans="2:8" ht="20.100000000000001" customHeight="1">
      <c r="B77" s="322"/>
      <c r="D77" s="48"/>
      <c r="E77" s="48"/>
      <c r="F77" s="48"/>
    </row>
    <row r="78" spans="2:8" ht="20.100000000000001" customHeight="1">
      <c r="D78" s="49"/>
      <c r="E78" s="49"/>
      <c r="F78" s="49"/>
    </row>
    <row r="79" spans="2:8" ht="20.100000000000001" customHeight="1">
      <c r="B79" s="1" t="s">
        <v>108</v>
      </c>
      <c r="D79" s="324">
        <v>3240339500</v>
      </c>
      <c r="E79" s="49">
        <v>3240339500</v>
      </c>
      <c r="F79" s="49">
        <f t="shared" si="2"/>
        <v>0</v>
      </c>
    </row>
    <row r="80" spans="2:8" ht="20.100000000000001" customHeight="1">
      <c r="B80" s="1" t="s">
        <v>99</v>
      </c>
      <c r="D80" s="321">
        <v>-3240339500</v>
      </c>
      <c r="E80" s="321">
        <v>-3240339500</v>
      </c>
      <c r="F80" s="321">
        <f t="shared" si="2"/>
        <v>0</v>
      </c>
    </row>
    <row r="81" spans="2:9" ht="24.75" customHeight="1">
      <c r="B81" s="15" t="s">
        <v>109</v>
      </c>
      <c r="C81" s="47"/>
      <c r="D81" s="50">
        <f>SUM(D79:D80)</f>
        <v>0</v>
      </c>
      <c r="E81" s="50">
        <f>SUM(E79:E80)</f>
        <v>0</v>
      </c>
      <c r="F81" s="50">
        <f>SUM(F79:F80)</f>
        <v>0</v>
      </c>
    </row>
    <row r="82" spans="2:9" ht="20.100000000000001" customHeight="1">
      <c r="D82" s="49"/>
      <c r="E82" s="49"/>
      <c r="F82" s="49"/>
    </row>
    <row r="83" spans="2:9" ht="20.100000000000001" customHeight="1">
      <c r="D83" s="49"/>
      <c r="E83" s="49"/>
      <c r="F83" s="49"/>
      <c r="I83" s="18"/>
    </row>
    <row r="84" spans="2:9" ht="20.100000000000001" customHeight="1">
      <c r="B84" s="1" t="s">
        <v>110</v>
      </c>
      <c r="D84" s="324">
        <v>3475097800</v>
      </c>
      <c r="E84" s="49">
        <v>3475097800</v>
      </c>
      <c r="F84" s="49">
        <f t="shared" si="2"/>
        <v>0</v>
      </c>
    </row>
    <row r="85" spans="2:9" ht="20.100000000000001" customHeight="1">
      <c r="B85" s="1" t="s">
        <v>99</v>
      </c>
      <c r="D85" s="321">
        <v>-3475097800</v>
      </c>
      <c r="E85" s="321">
        <v>-3475097800</v>
      </c>
      <c r="F85" s="321">
        <f t="shared" si="2"/>
        <v>0</v>
      </c>
    </row>
    <row r="86" spans="2:9" ht="20.100000000000001" customHeight="1">
      <c r="B86" s="15" t="s">
        <v>111</v>
      </c>
      <c r="C86" s="47"/>
      <c r="D86" s="50">
        <f>SUM(D84:D85)</f>
        <v>0</v>
      </c>
      <c r="E86" s="50">
        <f>SUM(E84:E85)</f>
        <v>0</v>
      </c>
      <c r="F86" s="50">
        <f>SUM(F84:F85)</f>
        <v>0</v>
      </c>
    </row>
    <row r="87" spans="2:9" ht="20.100000000000001" customHeight="1">
      <c r="D87" s="49"/>
      <c r="E87" s="49"/>
      <c r="F87" s="49"/>
    </row>
    <row r="88" spans="2:9" ht="20.100000000000001" customHeight="1">
      <c r="D88" s="49"/>
      <c r="E88" s="49"/>
      <c r="F88" s="49"/>
    </row>
    <row r="89" spans="2:9" ht="20.100000000000001" customHeight="1">
      <c r="B89" s="1" t="s">
        <v>112</v>
      </c>
      <c r="D89" s="49">
        <v>3462816000</v>
      </c>
      <c r="E89" s="49">
        <v>3462816000</v>
      </c>
      <c r="F89" s="49">
        <f>D89-E89</f>
        <v>0</v>
      </c>
    </row>
    <row r="90" spans="2:9" ht="20.100000000000001" customHeight="1">
      <c r="B90" s="1" t="s">
        <v>99</v>
      </c>
      <c r="D90" s="321">
        <v>-3462816000</v>
      </c>
      <c r="E90" s="321">
        <v>-3462816000</v>
      </c>
      <c r="F90" s="321">
        <f>D90-E90</f>
        <v>0</v>
      </c>
    </row>
    <row r="91" spans="2:9" ht="20.100000000000001" customHeight="1">
      <c r="B91" s="15" t="s">
        <v>113</v>
      </c>
      <c r="C91" s="47"/>
      <c r="D91" s="50">
        <f>SUM(D89:D90)</f>
        <v>0</v>
      </c>
      <c r="E91" s="50">
        <f>SUM(E89:E90)</f>
        <v>0</v>
      </c>
      <c r="F91" s="50">
        <f>SUM(F89:F90)</f>
        <v>0</v>
      </c>
    </row>
    <row r="92" spans="2:9" ht="20.100000000000001" customHeight="1">
      <c r="B92" s="322"/>
      <c r="D92" s="48"/>
      <c r="E92" s="48"/>
      <c r="F92" s="48"/>
    </row>
    <row r="93" spans="2:9" ht="20.100000000000001" customHeight="1">
      <c r="C93" s="317" t="s">
        <v>75</v>
      </c>
      <c r="D93" s="49"/>
      <c r="E93" s="49"/>
      <c r="F93" s="49"/>
    </row>
    <row r="94" spans="2:9" ht="20.100000000000001" customHeight="1">
      <c r="B94" s="15" t="s">
        <v>114</v>
      </c>
      <c r="C94" s="47" t="s">
        <v>77</v>
      </c>
      <c r="D94" s="48">
        <f>+D58+D64+D70+D76+D81+D86+D91</f>
        <v>14538136304.990002</v>
      </c>
      <c r="E94" s="50">
        <f>+E58+E64+E70+E76+E81+E86+E91</f>
        <v>15182098558.029999</v>
      </c>
      <c r="F94" s="50">
        <f>+F58+F64+F70+F76+F81+F86+F91</f>
        <v>-643962253.03999949</v>
      </c>
    </row>
    <row r="95" spans="2:9" ht="20.100000000000001" customHeight="1">
      <c r="B95" s="15"/>
      <c r="D95" s="371"/>
      <c r="E95" s="48"/>
      <c r="F95" s="48"/>
    </row>
    <row r="96" spans="2:9" ht="20.100000000000001" customHeight="1">
      <c r="B96" s="52"/>
      <c r="C96" s="323"/>
      <c r="E96" s="48"/>
      <c r="F96" s="48"/>
    </row>
    <row r="97" spans="2:7" ht="24.75" customHeight="1">
      <c r="B97" s="15" t="s">
        <v>115</v>
      </c>
      <c r="C97" s="47">
        <v>7</v>
      </c>
      <c r="D97" s="1"/>
      <c r="E97" s="1"/>
      <c r="F97" s="1"/>
    </row>
    <row r="98" spans="2:7" ht="20.100000000000001" customHeight="1">
      <c r="B98" s="1" t="s">
        <v>116</v>
      </c>
      <c r="D98" s="49">
        <f>+'NOTA 7-AVANCES A FUTURAS CAPIT'!C14</f>
        <v>383156800</v>
      </c>
      <c r="E98" s="49">
        <v>383156800</v>
      </c>
      <c r="F98" s="49">
        <f>D98-E98</f>
        <v>0</v>
      </c>
    </row>
    <row r="99" spans="2:7" ht="20.100000000000001" customHeight="1">
      <c r="B99" s="1" t="s">
        <v>117</v>
      </c>
      <c r="D99" s="49">
        <f>+'NOTA 7-AVANCES A FUTURAS CAPIT'!C15</f>
        <v>296750000</v>
      </c>
      <c r="E99" s="49">
        <v>296750000</v>
      </c>
      <c r="F99" s="49">
        <f t="shared" ref="F99:F100" si="3">D99-E99</f>
        <v>0</v>
      </c>
    </row>
    <row r="100" spans="2:7" ht="20.100000000000001" customHeight="1">
      <c r="B100" s="1" t="s">
        <v>118</v>
      </c>
      <c r="D100" s="49">
        <f>+'NOTA 7-AVANCES A FUTURAS CAPIT'!C16</f>
        <v>1066750000</v>
      </c>
      <c r="E100" s="49">
        <v>1066750000</v>
      </c>
      <c r="F100" s="49">
        <f t="shared" si="3"/>
        <v>0</v>
      </c>
    </row>
    <row r="101" spans="2:7" ht="20.100000000000001" customHeight="1">
      <c r="C101" s="317" t="s">
        <v>75</v>
      </c>
      <c r="D101" s="49"/>
      <c r="E101" s="49"/>
      <c r="F101" s="49"/>
    </row>
    <row r="102" spans="2:7" ht="20.100000000000001" customHeight="1">
      <c r="B102" s="15" t="s">
        <v>119</v>
      </c>
      <c r="C102" s="47" t="s">
        <v>77</v>
      </c>
      <c r="D102" s="50">
        <f>SUM(D98:D100)</f>
        <v>1746656800</v>
      </c>
      <c r="E102" s="50">
        <f t="shared" ref="E102:F102" si="4">SUM(E98:E100)</f>
        <v>1746656800</v>
      </c>
      <c r="F102" s="50">
        <f t="shared" si="4"/>
        <v>0</v>
      </c>
    </row>
    <row r="103" spans="2:7" ht="20.100000000000001" customHeight="1">
      <c r="B103" s="15"/>
      <c r="D103" s="48"/>
      <c r="E103" s="48"/>
      <c r="F103" s="48"/>
    </row>
    <row r="104" spans="2:7" ht="20.100000000000001" customHeight="1">
      <c r="B104" s="52"/>
      <c r="C104" s="323"/>
      <c r="D104" s="48"/>
      <c r="E104" s="48"/>
      <c r="F104" s="48"/>
    </row>
    <row r="105" spans="2:7" ht="24.75" customHeight="1">
      <c r="B105" s="15" t="s">
        <v>120</v>
      </c>
      <c r="C105" s="47">
        <v>8</v>
      </c>
      <c r="D105" s="1"/>
      <c r="E105" s="1"/>
      <c r="F105" s="1"/>
    </row>
    <row r="106" spans="2:7" ht="20.100000000000001" customHeight="1">
      <c r="B106" s="1" t="s">
        <v>121</v>
      </c>
      <c r="D106" s="423">
        <f>+'NOTA 8-MOBILIARIO Y EQUIPOS, NE'!C17</f>
        <v>56654886.609999999</v>
      </c>
      <c r="E106" s="49">
        <v>55728999.609999999</v>
      </c>
      <c r="F106" s="49">
        <f t="shared" ref="F106:F113" si="5">D106-E106</f>
        <v>925887</v>
      </c>
      <c r="G106" s="49"/>
    </row>
    <row r="107" spans="2:7" ht="20.100000000000001" customHeight="1">
      <c r="B107" s="1" t="s">
        <v>122</v>
      </c>
      <c r="D107" s="424">
        <f>+-'NOTA 8-MOBILIARIO Y EQUIPOS, NE'!C24</f>
        <v>-39346882.370000005</v>
      </c>
      <c r="E107" s="49">
        <v>-38811323.840000004</v>
      </c>
      <c r="F107" s="49">
        <f t="shared" si="5"/>
        <v>-535558.53000000119</v>
      </c>
      <c r="G107" s="49"/>
    </row>
    <row r="108" spans="2:7" ht="20.100000000000001" customHeight="1">
      <c r="B108" s="1" t="s">
        <v>123</v>
      </c>
      <c r="C108" s="323"/>
      <c r="D108" s="424">
        <f>+'NOTA 8-MOBILIARIO Y EQUIPOS, NE'!D17</f>
        <v>1003826</v>
      </c>
      <c r="E108" s="49">
        <v>1003826</v>
      </c>
      <c r="F108" s="49">
        <f t="shared" si="5"/>
        <v>0</v>
      </c>
      <c r="G108" s="49"/>
    </row>
    <row r="109" spans="2:7" ht="20.100000000000001" customHeight="1">
      <c r="B109" s="1" t="s">
        <v>122</v>
      </c>
      <c r="C109" s="323"/>
      <c r="D109" s="424">
        <f>+-'NOTA 8-MOBILIARIO Y EQUIPOS, NE'!D24</f>
        <v>-485183.05000000005</v>
      </c>
      <c r="E109" s="49">
        <v>-468452.60000000003</v>
      </c>
      <c r="F109" s="49">
        <f t="shared" si="5"/>
        <v>-16730.450000000012</v>
      </c>
      <c r="G109" s="49"/>
    </row>
    <row r="110" spans="2:7" ht="20.100000000000001" customHeight="1">
      <c r="B110" s="1" t="s">
        <v>124</v>
      </c>
      <c r="C110" s="323"/>
      <c r="D110" s="424">
        <f>+'NOTA 8-MOBILIARIO Y EQUIPOS, NE'!E17</f>
        <v>25682855.010000002</v>
      </c>
      <c r="E110" s="49">
        <v>25682855.010000002</v>
      </c>
      <c r="F110" s="49">
        <f t="shared" si="5"/>
        <v>0</v>
      </c>
      <c r="G110" s="49"/>
    </row>
    <row r="111" spans="2:7" ht="20.100000000000001" customHeight="1">
      <c r="B111" s="1" t="s">
        <v>122</v>
      </c>
      <c r="C111" s="323"/>
      <c r="D111" s="447">
        <f>+-'NOTA 8-MOBILIARIO Y EQUIPOS, NE'!E24</f>
        <v>-21279755.23</v>
      </c>
      <c r="E111" s="2">
        <v>-21177357.57</v>
      </c>
      <c r="F111" s="2">
        <f t="shared" si="5"/>
        <v>-102397.66000000015</v>
      </c>
      <c r="G111" s="2"/>
    </row>
    <row r="112" spans="2:7" ht="20.100000000000001" customHeight="1">
      <c r="B112" s="1" t="s">
        <v>125</v>
      </c>
      <c r="C112" s="323" t="s">
        <v>77</v>
      </c>
      <c r="D112" s="447">
        <f>+'NOTA 8-MOBILIARIO Y EQUIPOS, NE'!I17</f>
        <v>5881555.6499999994</v>
      </c>
      <c r="E112" s="2">
        <v>5881555.6499999994</v>
      </c>
      <c r="F112" s="2">
        <f t="shared" si="5"/>
        <v>0</v>
      </c>
      <c r="G112" s="2"/>
    </row>
    <row r="113" spans="2:8" ht="20.100000000000001" customHeight="1">
      <c r="B113" s="1" t="s">
        <v>126</v>
      </c>
      <c r="C113" s="323"/>
      <c r="D113" s="447">
        <f>+-'NOTA 8-MOBILIARIO Y EQUIPOS, NE'!I24</f>
        <v>-5881555.6499999994</v>
      </c>
      <c r="E113" s="2">
        <v>-5881555.6499999994</v>
      </c>
      <c r="F113" s="2">
        <f t="shared" si="5"/>
        <v>0</v>
      </c>
      <c r="G113" s="2"/>
    </row>
    <row r="114" spans="2:8" ht="20.100000000000001" customHeight="1">
      <c r="C114" s="317" t="s">
        <v>75</v>
      </c>
      <c r="D114" s="49"/>
      <c r="E114" s="49"/>
      <c r="F114" s="423"/>
      <c r="G114" s="49"/>
    </row>
    <row r="115" spans="2:8" ht="20.100000000000001" customHeight="1">
      <c r="B115" s="15" t="s">
        <v>127</v>
      </c>
      <c r="C115" s="47" t="s">
        <v>77</v>
      </c>
      <c r="D115" s="50">
        <f>SUM(D106:D113)</f>
        <v>22229746.969999995</v>
      </c>
      <c r="E115" s="50">
        <f>SUM(E106:E113)</f>
        <v>21958546.609999992</v>
      </c>
      <c r="F115" s="50">
        <f>SUM(F106:F113)</f>
        <v>271200.35999999865</v>
      </c>
      <c r="G115" s="50"/>
    </row>
    <row r="116" spans="2:8" ht="20.100000000000001" customHeight="1">
      <c r="B116" s="18"/>
      <c r="C116" s="17" t="s">
        <v>77</v>
      </c>
      <c r="D116" s="49"/>
      <c r="E116" s="49"/>
      <c r="F116" s="49"/>
    </row>
    <row r="117" spans="2:8" ht="20.100000000000001" customHeight="1">
      <c r="B117" s="18"/>
      <c r="C117" s="17" t="s">
        <v>77</v>
      </c>
      <c r="D117" s="49"/>
      <c r="E117" s="49"/>
      <c r="F117" s="49"/>
    </row>
    <row r="118" spans="2:8" ht="24.75" customHeight="1">
      <c r="B118" s="15" t="s">
        <v>128</v>
      </c>
      <c r="C118" s="47">
        <v>9</v>
      </c>
      <c r="D118" s="1"/>
      <c r="E118" s="1"/>
      <c r="F118" s="1"/>
      <c r="H118" s="49"/>
    </row>
    <row r="119" spans="2:8" ht="20.100000000000001" customHeight="1">
      <c r="B119" s="1" t="s">
        <v>129</v>
      </c>
      <c r="D119" s="49">
        <f>+'NOTA 9-CEDULAS CxP PROVEEDORES '!C9</f>
        <v>2433852.2799999998</v>
      </c>
      <c r="E119" s="49">
        <v>1975636.98</v>
      </c>
      <c r="F119" s="49">
        <f t="shared" ref="F119:F124" si="6">D119-E119</f>
        <v>458215.29999999981</v>
      </c>
      <c r="H119" s="49"/>
    </row>
    <row r="120" spans="2:8" ht="20.100000000000001" customHeight="1">
      <c r="B120" s="1" t="s">
        <v>130</v>
      </c>
      <c r="D120" s="324">
        <f>+'NOTA 9-CEDULAS CxP PROVEEDORES '!C10</f>
        <v>422180.86</v>
      </c>
      <c r="E120" s="49">
        <v>335484.78000000003</v>
      </c>
      <c r="F120" s="49">
        <f t="shared" si="6"/>
        <v>86696.079999999958</v>
      </c>
      <c r="H120" s="49"/>
    </row>
    <row r="121" spans="2:8" ht="20.100000000000001" customHeight="1">
      <c r="B121" s="1" t="s">
        <v>131</v>
      </c>
      <c r="C121" s="17" t="s">
        <v>77</v>
      </c>
      <c r="D121" s="324">
        <f>+'NOTA 9-CEDULAS CxP PROVEEDORES '!C11</f>
        <v>100161.08</v>
      </c>
      <c r="E121" s="45">
        <v>48288.31</v>
      </c>
      <c r="F121" s="49">
        <f t="shared" si="6"/>
        <v>51872.770000000004</v>
      </c>
      <c r="H121" s="49"/>
    </row>
    <row r="122" spans="2:8" ht="20.100000000000001" customHeight="1">
      <c r="B122" s="1" t="s">
        <v>132</v>
      </c>
      <c r="D122" s="324">
        <f>+'NOTA 9-CEDULAS CxP PROVEEDORES '!C13</f>
        <v>0</v>
      </c>
      <c r="E122" s="49">
        <v>0</v>
      </c>
      <c r="F122" s="49">
        <f t="shared" si="6"/>
        <v>0</v>
      </c>
      <c r="H122" s="49"/>
    </row>
    <row r="123" spans="2:8" ht="20.100000000000001" customHeight="1">
      <c r="B123" s="1" t="s">
        <v>133</v>
      </c>
      <c r="D123" s="324">
        <f>+'NOTA 9-CEDULAS CxP PROVEEDORES '!C12</f>
        <v>7890</v>
      </c>
      <c r="E123" s="49">
        <v>8150</v>
      </c>
      <c r="F123" s="49">
        <f t="shared" si="6"/>
        <v>-260</v>
      </c>
      <c r="H123" s="49"/>
    </row>
    <row r="124" spans="2:8" ht="20.100000000000001" customHeight="1">
      <c r="B124" s="1" t="s">
        <v>134</v>
      </c>
      <c r="D124" s="324">
        <v>0</v>
      </c>
      <c r="E124" s="49">
        <v>0</v>
      </c>
      <c r="F124" s="49">
        <f t="shared" si="6"/>
        <v>0</v>
      </c>
      <c r="H124" s="49"/>
    </row>
    <row r="125" spans="2:8">
      <c r="C125" s="317" t="s">
        <v>75</v>
      </c>
      <c r="D125" s="49"/>
      <c r="E125" s="49"/>
      <c r="F125" s="49"/>
      <c r="H125" s="49"/>
    </row>
    <row r="126" spans="2:8" ht="20.100000000000001" customHeight="1">
      <c r="B126" s="15" t="s">
        <v>135</v>
      </c>
      <c r="C126" s="47"/>
      <c r="D126" s="48">
        <f>SUM(D119:D125)</f>
        <v>2964084.2199999997</v>
      </c>
      <c r="E126" s="48">
        <f>SUM(E119:E125)</f>
        <v>2367560.0699999998</v>
      </c>
      <c r="F126" s="48">
        <f>SUM(F119:F125)</f>
        <v>596524.14999999979</v>
      </c>
      <c r="H126" s="49"/>
    </row>
    <row r="127" spans="2:8" ht="20.100000000000001" customHeight="1">
      <c r="D127" s="49"/>
      <c r="E127" s="49"/>
      <c r="F127" s="49"/>
      <c r="H127" s="49"/>
    </row>
    <row r="128" spans="2:8" ht="20.100000000000001" customHeight="1">
      <c r="D128" s="49"/>
      <c r="E128" s="49"/>
      <c r="F128" s="49"/>
      <c r="H128" s="49"/>
    </row>
    <row r="129" spans="2:8" ht="44.25" customHeight="1">
      <c r="B129" s="56" t="s">
        <v>136</v>
      </c>
      <c r="C129" s="47">
        <v>10</v>
      </c>
      <c r="D129" s="1"/>
      <c r="E129" s="1"/>
      <c r="F129" s="1"/>
      <c r="H129" s="49"/>
    </row>
    <row r="130" spans="2:8" ht="20.100000000000001" customHeight="1">
      <c r="B130" s="1" t="s">
        <v>137</v>
      </c>
      <c r="D130" s="49">
        <f>+'NOTA 10-CEDULAS CxP CONTRATISTA'!C10</f>
        <v>653990.1</v>
      </c>
      <c r="E130" s="49">
        <v>2417573.23</v>
      </c>
      <c r="F130" s="49">
        <f>D130-E130</f>
        <v>-1763583.13</v>
      </c>
      <c r="H130" s="49"/>
    </row>
    <row r="131" spans="2:8" ht="20.100000000000001" customHeight="1">
      <c r="B131" s="1" t="s">
        <v>138</v>
      </c>
      <c r="D131" s="324">
        <v>0</v>
      </c>
      <c r="E131" s="45">
        <v>0</v>
      </c>
      <c r="F131" s="49">
        <f t="shared" ref="F131" si="7">D131-E131</f>
        <v>0</v>
      </c>
      <c r="H131" s="49"/>
    </row>
    <row r="132" spans="2:8" ht="20.100000000000001" customHeight="1">
      <c r="C132" s="317" t="s">
        <v>75</v>
      </c>
      <c r="D132" s="45"/>
      <c r="E132" s="45"/>
      <c r="F132" s="49"/>
      <c r="H132" s="49"/>
    </row>
    <row r="133" spans="2:8" ht="37.5" customHeight="1">
      <c r="B133" s="56" t="s">
        <v>139</v>
      </c>
      <c r="C133" s="47" t="s">
        <v>77</v>
      </c>
      <c r="D133" s="48">
        <f>SUM(D130:D132)</f>
        <v>653990.1</v>
      </c>
      <c r="E133" s="48">
        <f t="shared" ref="E133:F133" si="8">SUM(E130:E132)</f>
        <v>2417573.23</v>
      </c>
      <c r="F133" s="48">
        <f t="shared" si="8"/>
        <v>-1763583.13</v>
      </c>
      <c r="H133" s="49"/>
    </row>
    <row r="134" spans="2:8" ht="20.100000000000001" customHeight="1">
      <c r="B134" s="43"/>
      <c r="C134" s="54"/>
      <c r="D134" s="49"/>
      <c r="E134" s="49"/>
      <c r="F134" s="49"/>
      <c r="H134" s="49"/>
    </row>
    <row r="135" spans="2:8" ht="20.100000000000001" customHeight="1">
      <c r="C135" s="17" t="s">
        <v>77</v>
      </c>
    </row>
    <row r="136" spans="2:8" ht="24.75" customHeight="1">
      <c r="B136" s="15" t="s">
        <v>140</v>
      </c>
      <c r="C136" s="47">
        <v>11</v>
      </c>
      <c r="D136" s="1"/>
      <c r="E136" s="1"/>
      <c r="F136" s="1"/>
    </row>
    <row r="137" spans="2:8" ht="20.100000000000001" customHeight="1">
      <c r="B137" s="1" t="s">
        <v>141</v>
      </c>
      <c r="D137" s="277">
        <f>+'NOTA 11-GASTOS PERSONAL X PAGAR'!B9</f>
        <v>480314.28</v>
      </c>
      <c r="E137" s="49">
        <v>471181.42</v>
      </c>
      <c r="F137" s="49">
        <f>D137-E137</f>
        <v>9132.8600000000442</v>
      </c>
    </row>
    <row r="138" spans="2:8" ht="20.100000000000001" customHeight="1">
      <c r="B138" s="1" t="s">
        <v>142</v>
      </c>
      <c r="C138" s="17" t="s">
        <v>77</v>
      </c>
      <c r="D138" s="64">
        <f>+'NOTA 11-GASTOS PERSONAL X PAGAR'!B10</f>
        <v>4158693.44</v>
      </c>
      <c r="E138" s="2">
        <v>0</v>
      </c>
      <c r="F138" s="2">
        <f>D138-E138</f>
        <v>4158693.44</v>
      </c>
    </row>
    <row r="139" spans="2:8" ht="20.100000000000001" customHeight="1">
      <c r="B139" s="1" t="s">
        <v>143</v>
      </c>
      <c r="D139" s="64">
        <v>0</v>
      </c>
      <c r="E139" s="2">
        <v>0</v>
      </c>
      <c r="F139" s="2">
        <f>D139-E139</f>
        <v>0</v>
      </c>
    </row>
    <row r="140" spans="2:8" ht="20.100000000000001" customHeight="1">
      <c r="B140" s="1" t="s">
        <v>144</v>
      </c>
      <c r="C140" s="17" t="s">
        <v>77</v>
      </c>
      <c r="D140" s="64">
        <f>+'NOTA 11-GASTOS PERSONAL X PAGAR'!B12</f>
        <v>3112241.01</v>
      </c>
      <c r="E140" s="2">
        <v>3340948.32</v>
      </c>
      <c r="F140" s="2">
        <f>D140-E140</f>
        <v>-228707.31000000006</v>
      </c>
    </row>
    <row r="141" spans="2:8" ht="20.100000000000001" customHeight="1">
      <c r="B141" s="1" t="s">
        <v>145</v>
      </c>
      <c r="C141" s="17" t="s">
        <v>77</v>
      </c>
      <c r="D141" s="51">
        <f>+'NOTA 11-GASTOS PERSONAL X PAGAR'!B13</f>
        <v>812281.67</v>
      </c>
      <c r="E141" s="2">
        <v>0</v>
      </c>
      <c r="F141" s="2">
        <f>D141-E141</f>
        <v>812281.67</v>
      </c>
    </row>
    <row r="142" spans="2:8" ht="20.100000000000001" customHeight="1">
      <c r="C142" s="317" t="s">
        <v>75</v>
      </c>
      <c r="D142" s="49"/>
      <c r="E142" s="49"/>
      <c r="F142" s="49"/>
    </row>
    <row r="143" spans="2:8" ht="20.100000000000001" customHeight="1">
      <c r="B143" s="15" t="s">
        <v>146</v>
      </c>
      <c r="C143" s="47" t="s">
        <v>77</v>
      </c>
      <c r="D143" s="50">
        <f>SUM(D137:D142)</f>
        <v>8563530.4000000004</v>
      </c>
      <c r="E143" s="50">
        <f>SUM(E137:E142)</f>
        <v>3812129.7399999998</v>
      </c>
      <c r="F143" s="50">
        <f>SUM(F137:F142)</f>
        <v>4751400.66</v>
      </c>
    </row>
    <row r="144" spans="2:8" ht="20.100000000000001" customHeight="1">
      <c r="C144" s="17" t="s">
        <v>77</v>
      </c>
      <c r="D144" s="49"/>
      <c r="E144" s="49"/>
      <c r="F144" s="49"/>
    </row>
    <row r="145" spans="2:6" ht="20.100000000000001" customHeight="1">
      <c r="C145" s="17" t="s">
        <v>77</v>
      </c>
      <c r="D145" s="49"/>
      <c r="E145" s="49"/>
      <c r="F145" s="49"/>
    </row>
    <row r="146" spans="2:6" ht="24.75" customHeight="1">
      <c r="B146" s="15" t="s">
        <v>147</v>
      </c>
      <c r="C146" s="47">
        <v>12</v>
      </c>
      <c r="D146" s="1"/>
      <c r="E146" s="1"/>
      <c r="F146" s="1"/>
    </row>
    <row r="147" spans="2:6" ht="20.100000000000001" customHeight="1">
      <c r="B147" s="1" t="s">
        <v>148</v>
      </c>
      <c r="D147" s="324">
        <f>+'NOTA 12-RETENCIONES X PAGAR'!B10</f>
        <v>159457.66</v>
      </c>
      <c r="E147" s="87">
        <v>475606.27</v>
      </c>
      <c r="F147" s="49">
        <f>D147-E147</f>
        <v>-316148.61</v>
      </c>
    </row>
    <row r="148" spans="2:6" ht="20.100000000000001" customHeight="1">
      <c r="B148" s="1" t="s">
        <v>149</v>
      </c>
      <c r="C148" s="17" t="s">
        <v>77</v>
      </c>
      <c r="D148" s="324">
        <f>+'NOTA 12-RETENCIONES X PAGAR'!B11</f>
        <v>1616503.27</v>
      </c>
      <c r="E148" s="87">
        <v>7992453.2800000003</v>
      </c>
      <c r="F148" s="49">
        <f>D148-E148</f>
        <v>-6375950.0099999998</v>
      </c>
    </row>
    <row r="149" spans="2:6" ht="20.100000000000001" customHeight="1">
      <c r="B149" s="1" t="s">
        <v>150</v>
      </c>
      <c r="D149" s="324">
        <f>+'NOTA 12-RETENCIONES X PAGAR'!B12</f>
        <v>112160.99</v>
      </c>
      <c r="E149" s="49">
        <v>179254.41</v>
      </c>
      <c r="F149" s="49">
        <f t="shared" ref="F149" si="9">D149-E149</f>
        <v>-67093.42</v>
      </c>
    </row>
    <row r="150" spans="2:6" ht="20.100000000000001" customHeight="1">
      <c r="B150" s="1" t="s">
        <v>151</v>
      </c>
      <c r="D150" s="324">
        <f>+'NOTA 12-RETENCIONES X PAGAR'!B13</f>
        <v>2156.3000000000002</v>
      </c>
      <c r="E150" s="49">
        <v>5760.34</v>
      </c>
      <c r="F150" s="49">
        <f>D150-E150</f>
        <v>-3604.04</v>
      </c>
    </row>
    <row r="151" spans="2:6" ht="20.100000000000001" customHeight="1">
      <c r="B151" s="1" t="s">
        <v>152</v>
      </c>
      <c r="D151" s="324">
        <f>+'NOTA 12-RETENCIONES X PAGAR'!B14</f>
        <v>21563.040000000001</v>
      </c>
      <c r="E151" s="49">
        <v>57603.37</v>
      </c>
      <c r="F151" s="49">
        <f>D151-E151</f>
        <v>-36040.33</v>
      </c>
    </row>
    <row r="152" spans="2:6" ht="20.100000000000001" customHeight="1">
      <c r="C152" s="317" t="s">
        <v>75</v>
      </c>
      <c r="D152" s="324"/>
      <c r="E152" s="49"/>
      <c r="F152" s="49"/>
    </row>
    <row r="153" spans="2:6" ht="20.100000000000001" customHeight="1">
      <c r="B153" s="15" t="s">
        <v>153</v>
      </c>
      <c r="C153" s="47" t="s">
        <v>77</v>
      </c>
      <c r="D153" s="50">
        <f>SUM(D147:D152)</f>
        <v>1911841.26</v>
      </c>
      <c r="E153" s="50">
        <f>SUM(E147:E152)</f>
        <v>8710677.6699999999</v>
      </c>
      <c r="F153" s="50">
        <f>SUM(F147:F152)</f>
        <v>-6798836.4100000001</v>
      </c>
    </row>
    <row r="154" spans="2:6" ht="20.100000000000001" customHeight="1">
      <c r="D154" s="49"/>
      <c r="E154" s="49"/>
      <c r="F154" s="49"/>
    </row>
    <row r="155" spans="2:6" ht="20.100000000000001" customHeight="1">
      <c r="D155" s="49"/>
      <c r="E155" s="49"/>
      <c r="F155" s="49"/>
    </row>
    <row r="156" spans="2:6" ht="24.75" customHeight="1">
      <c r="B156" s="15" t="s">
        <v>154</v>
      </c>
      <c r="C156" s="47">
        <v>13</v>
      </c>
      <c r="D156" s="1"/>
      <c r="E156" s="1"/>
      <c r="F156" s="1"/>
    </row>
    <row r="157" spans="2:6" ht="20.100000000000001" customHeight="1">
      <c r="B157" s="1" t="s">
        <v>154</v>
      </c>
      <c r="D157" s="49">
        <f>+'NOTA 13-OTRAS CXP'!B12</f>
        <v>0</v>
      </c>
      <c r="E157" s="49">
        <v>16900860.629999999</v>
      </c>
      <c r="F157" s="49">
        <f>D157-E157</f>
        <v>-16900860.629999999</v>
      </c>
    </row>
    <row r="158" spans="2:6" ht="20.100000000000001" customHeight="1">
      <c r="C158" s="317" t="s">
        <v>75</v>
      </c>
      <c r="D158" s="49"/>
      <c r="E158" s="49"/>
      <c r="F158" s="49"/>
    </row>
    <row r="159" spans="2:6" ht="20.100000000000001" customHeight="1">
      <c r="B159" s="15" t="s">
        <v>155</v>
      </c>
      <c r="C159" s="47" t="s">
        <v>77</v>
      </c>
      <c r="D159" s="50">
        <f>SUM(D157:D157)</f>
        <v>0</v>
      </c>
      <c r="E159" s="50">
        <f>SUM(E157:E157)</f>
        <v>16900860.629999999</v>
      </c>
      <c r="F159" s="50">
        <f>SUM(F157:F157)</f>
        <v>-16900860.629999999</v>
      </c>
    </row>
    <row r="160" spans="2:6" ht="20.100000000000001" customHeight="1">
      <c r="C160" s="17" t="s">
        <v>77</v>
      </c>
      <c r="D160" s="1"/>
      <c r="E160" s="1"/>
      <c r="F160" s="1"/>
    </row>
    <row r="161" spans="3:6" ht="20.100000000000001" customHeight="1">
      <c r="C161" s="17" t="s">
        <v>77</v>
      </c>
      <c r="D161" s="49"/>
      <c r="E161" s="49"/>
      <c r="F161" s="49"/>
    </row>
    <row r="162" spans="3:6" ht="20.100000000000001" customHeight="1">
      <c r="C162" s="17" t="s">
        <v>77</v>
      </c>
      <c r="D162" s="1"/>
      <c r="E162" s="1"/>
      <c r="F162" s="1"/>
    </row>
    <row r="163" spans="3:6">
      <c r="C163" s="17" t="s">
        <v>77</v>
      </c>
      <c r="D163" s="49"/>
      <c r="E163" s="49"/>
      <c r="F163" s="49"/>
    </row>
    <row r="164" spans="3:6">
      <c r="D164" s="49"/>
      <c r="E164" s="1"/>
      <c r="F164" s="1"/>
    </row>
    <row r="165" spans="3:6">
      <c r="D165" s="1"/>
      <c r="E165" s="1"/>
      <c r="F165" s="1"/>
    </row>
    <row r="166" spans="3:6">
      <c r="D166" s="1"/>
      <c r="E166" s="1"/>
      <c r="F166" s="1"/>
    </row>
    <row r="167" spans="3:6">
      <c r="D167" s="1"/>
      <c r="E167" s="1"/>
      <c r="F167" s="1"/>
    </row>
    <row r="168" spans="3:6">
      <c r="D168" s="1"/>
      <c r="E168" s="1"/>
      <c r="F168" s="1"/>
    </row>
    <row r="169" spans="3:6">
      <c r="D169" s="1"/>
      <c r="E169" s="1"/>
      <c r="F169" s="1"/>
    </row>
    <row r="170" spans="3:6">
      <c r="D170" s="1"/>
      <c r="E170" s="1"/>
      <c r="F170" s="1"/>
    </row>
    <row r="171" spans="3:6">
      <c r="D171" s="1"/>
      <c r="E171" s="1"/>
      <c r="F171" s="1"/>
    </row>
    <row r="172" spans="3:6">
      <c r="D172" s="1"/>
      <c r="E172" s="1"/>
      <c r="F172" s="1"/>
    </row>
    <row r="173" spans="3:6">
      <c r="D173" s="1"/>
      <c r="E173" s="1"/>
      <c r="F173" s="1"/>
    </row>
    <row r="174" spans="3:6">
      <c r="D174" s="1"/>
      <c r="E174" s="1"/>
      <c r="F174" s="1"/>
    </row>
    <row r="175" spans="3:6">
      <c r="D175" s="1"/>
      <c r="E175" s="1"/>
      <c r="F175" s="1"/>
    </row>
    <row r="176" spans="3:6">
      <c r="D176" s="1"/>
      <c r="E176" s="1"/>
      <c r="F176" s="1"/>
    </row>
    <row r="177" spans="4:6">
      <c r="D177" s="1"/>
      <c r="E177" s="1"/>
      <c r="F177" s="1"/>
    </row>
    <row r="178" spans="4:6">
      <c r="D178" s="1"/>
      <c r="E178" s="1"/>
      <c r="F178" s="1"/>
    </row>
    <row r="179" spans="4:6">
      <c r="D179" s="1"/>
      <c r="E179" s="1"/>
      <c r="F179" s="1"/>
    </row>
    <row r="180" spans="4:6">
      <c r="D180" s="1"/>
      <c r="E180" s="1"/>
      <c r="F180" s="1"/>
    </row>
    <row r="181" spans="4:6">
      <c r="D181" s="1"/>
      <c r="E181" s="1"/>
      <c r="F181" s="1"/>
    </row>
    <row r="182" spans="4:6">
      <c r="D182" s="1"/>
      <c r="E182" s="1"/>
      <c r="F182" s="1"/>
    </row>
    <row r="183" spans="4:6">
      <c r="D183" s="1"/>
      <c r="E183" s="1"/>
      <c r="F183" s="1"/>
    </row>
    <row r="184" spans="4:6">
      <c r="D184" s="1"/>
      <c r="E184" s="1"/>
      <c r="F184" s="1"/>
    </row>
    <row r="185" spans="4:6">
      <c r="D185" s="1"/>
      <c r="E185" s="1"/>
      <c r="F185" s="1"/>
    </row>
    <row r="186" spans="4:6">
      <c r="D186" s="1"/>
      <c r="E186" s="1"/>
      <c r="F186" s="1"/>
    </row>
    <row r="187" spans="4:6">
      <c r="D187" s="1"/>
      <c r="E187" s="1"/>
      <c r="F187" s="1"/>
    </row>
    <row r="188" spans="4:6">
      <c r="D188" s="1"/>
      <c r="E188" s="1"/>
      <c r="F188" s="1"/>
    </row>
    <row r="189" spans="4:6">
      <c r="D189" s="1"/>
      <c r="E189" s="1"/>
      <c r="F189" s="1"/>
    </row>
    <row r="190" spans="4:6">
      <c r="D190" s="1"/>
      <c r="E190" s="1"/>
      <c r="F190" s="1"/>
    </row>
    <row r="191" spans="4:6">
      <c r="D191" s="1"/>
      <c r="E191" s="1"/>
      <c r="F191" s="1"/>
    </row>
    <row r="192" spans="4:6">
      <c r="D192" s="1"/>
      <c r="E192" s="1"/>
      <c r="F192" s="1"/>
    </row>
    <row r="193" spans="4:6">
      <c r="D193" s="1"/>
      <c r="E193" s="1"/>
      <c r="F193" s="1"/>
    </row>
    <row r="194" spans="4:6">
      <c r="D194" s="1"/>
      <c r="E194" s="1"/>
      <c r="F194" s="1"/>
    </row>
    <row r="195" spans="4:6">
      <c r="D195" s="1"/>
      <c r="E195" s="1"/>
      <c r="F195" s="1"/>
    </row>
    <row r="196" spans="4:6">
      <c r="D196" s="1"/>
      <c r="E196" s="1"/>
      <c r="F196" s="1"/>
    </row>
    <row r="197" spans="4:6">
      <c r="D197" s="1"/>
      <c r="E197" s="1"/>
      <c r="F197" s="1"/>
    </row>
    <row r="198" spans="4:6">
      <c r="D198" s="1"/>
      <c r="E198" s="1"/>
      <c r="F198" s="1"/>
    </row>
    <row r="199" spans="4:6">
      <c r="D199" s="1"/>
      <c r="E199" s="1"/>
      <c r="F199" s="1"/>
    </row>
    <row r="200" spans="4:6">
      <c r="D200" s="1"/>
      <c r="E200" s="1"/>
      <c r="F200" s="1"/>
    </row>
    <row r="201" spans="4:6">
      <c r="D201" s="1"/>
      <c r="E201" s="1"/>
      <c r="F201" s="1"/>
    </row>
    <row r="202" spans="4:6">
      <c r="D202" s="1"/>
      <c r="E202" s="1"/>
      <c r="F202" s="1"/>
    </row>
    <row r="203" spans="4:6">
      <c r="D203" s="1"/>
      <c r="E203" s="1"/>
      <c r="F203" s="1"/>
    </row>
    <row r="204" spans="4:6">
      <c r="D204" s="1"/>
      <c r="E204" s="1"/>
      <c r="F204" s="1"/>
    </row>
    <row r="205" spans="4:6">
      <c r="D205" s="1"/>
      <c r="E205" s="1"/>
      <c r="F205" s="1"/>
    </row>
    <row r="206" spans="4:6">
      <c r="D206" s="1"/>
      <c r="E206" s="1"/>
      <c r="F206" s="1"/>
    </row>
    <row r="207" spans="4:6">
      <c r="D207" s="1"/>
      <c r="E207" s="1"/>
      <c r="F207" s="1"/>
    </row>
    <row r="208" spans="4:6">
      <c r="D208" s="1"/>
      <c r="E208" s="1"/>
      <c r="F208" s="1"/>
    </row>
    <row r="209" spans="4:6">
      <c r="D209" s="1"/>
      <c r="E209" s="1"/>
      <c r="F209" s="1"/>
    </row>
    <row r="210" spans="4:6">
      <c r="D210" s="1"/>
      <c r="E210" s="1"/>
      <c r="F210" s="1"/>
    </row>
    <row r="211" spans="4:6">
      <c r="D211" s="1"/>
      <c r="E211" s="1"/>
      <c r="F211" s="1"/>
    </row>
    <row r="212" spans="4:6">
      <c r="D212" s="1"/>
      <c r="E212" s="1"/>
      <c r="F212" s="1"/>
    </row>
    <row r="213" spans="4:6">
      <c r="D213" s="1"/>
      <c r="E213" s="1"/>
      <c r="F213" s="1"/>
    </row>
    <row r="214" spans="4:6">
      <c r="D214" s="1"/>
      <c r="E214" s="1"/>
      <c r="F214" s="1"/>
    </row>
    <row r="215" spans="4:6">
      <c r="D215" s="1"/>
      <c r="E215" s="1"/>
      <c r="F215" s="1"/>
    </row>
    <row r="216" spans="4:6">
      <c r="D216" s="1"/>
      <c r="E216" s="1"/>
      <c r="F216" s="1"/>
    </row>
    <row r="217" spans="4:6">
      <c r="D217" s="1"/>
      <c r="E217" s="1"/>
      <c r="F217" s="1"/>
    </row>
    <row r="218" spans="4:6">
      <c r="D218" s="1"/>
      <c r="E218" s="1"/>
      <c r="F218" s="1"/>
    </row>
    <row r="219" spans="4:6">
      <c r="D219" s="1"/>
      <c r="E219" s="1"/>
      <c r="F219" s="1"/>
    </row>
    <row r="220" spans="4:6">
      <c r="D220" s="1"/>
      <c r="E220" s="1"/>
      <c r="F220" s="1"/>
    </row>
    <row r="221" spans="4:6">
      <c r="D221" s="1"/>
      <c r="E221" s="1"/>
      <c r="F221" s="1"/>
    </row>
    <row r="222" spans="4:6">
      <c r="D222" s="1"/>
      <c r="E222" s="1"/>
      <c r="F222" s="1"/>
    </row>
    <row r="223" spans="4:6">
      <c r="D223" s="1"/>
      <c r="E223" s="1"/>
      <c r="F223" s="1"/>
    </row>
    <row r="224" spans="4:6">
      <c r="D224" s="1"/>
      <c r="E224" s="1"/>
      <c r="F224" s="1"/>
    </row>
    <row r="225" spans="4:6">
      <c r="D225" s="1"/>
      <c r="E225" s="1"/>
      <c r="F225" s="1"/>
    </row>
    <row r="226" spans="4:6">
      <c r="D226" s="1"/>
      <c r="E226" s="1"/>
      <c r="F226" s="1"/>
    </row>
    <row r="227" spans="4:6">
      <c r="D227" s="1"/>
      <c r="E227" s="1"/>
      <c r="F227" s="1"/>
    </row>
    <row r="228" spans="4:6">
      <c r="D228" s="1"/>
      <c r="E228" s="1"/>
      <c r="F228" s="1"/>
    </row>
    <row r="229" spans="4:6">
      <c r="D229" s="1"/>
      <c r="E229" s="1"/>
      <c r="F229" s="1"/>
    </row>
    <row r="230" spans="4:6">
      <c r="D230" s="1"/>
      <c r="E230" s="1"/>
      <c r="F230" s="1"/>
    </row>
    <row r="231" spans="4:6">
      <c r="D231" s="1"/>
      <c r="E231" s="1"/>
      <c r="F231" s="1"/>
    </row>
    <row r="232" spans="4:6">
      <c r="D232" s="1"/>
      <c r="E232" s="1"/>
      <c r="F232" s="1"/>
    </row>
    <row r="233" spans="4:6">
      <c r="D233" s="1"/>
      <c r="E233" s="1"/>
      <c r="F233" s="1"/>
    </row>
    <row r="234" spans="4:6">
      <c r="D234" s="1"/>
      <c r="E234" s="1"/>
      <c r="F234" s="1"/>
    </row>
    <row r="235" spans="4:6">
      <c r="D235" s="1"/>
      <c r="E235" s="1"/>
      <c r="F235" s="1"/>
    </row>
    <row r="236" spans="4:6">
      <c r="D236" s="1"/>
      <c r="E236" s="1"/>
      <c r="F236" s="1"/>
    </row>
    <row r="237" spans="4:6">
      <c r="D237" s="1"/>
      <c r="E237" s="1"/>
      <c r="F237" s="1"/>
    </row>
    <row r="238" spans="4:6">
      <c r="D238" s="1"/>
      <c r="E238" s="1"/>
      <c r="F238" s="1"/>
    </row>
    <row r="239" spans="4:6">
      <c r="D239" s="1"/>
      <c r="E239" s="1"/>
      <c r="F239" s="1"/>
    </row>
    <row r="240" spans="4:6">
      <c r="D240" s="1"/>
      <c r="E240" s="1"/>
      <c r="F240" s="1"/>
    </row>
    <row r="241" spans="4:6">
      <c r="D241" s="1"/>
      <c r="E241" s="1"/>
      <c r="F241" s="1"/>
    </row>
    <row r="242" spans="4:6">
      <c r="D242" s="1"/>
      <c r="E242" s="1"/>
      <c r="F242" s="1"/>
    </row>
    <row r="243" spans="4:6">
      <c r="D243" s="1"/>
      <c r="E243" s="1"/>
      <c r="F243" s="1"/>
    </row>
    <row r="244" spans="4:6">
      <c r="D244" s="1"/>
      <c r="E244" s="1"/>
      <c r="F244" s="1"/>
    </row>
    <row r="245" spans="4:6">
      <c r="D245" s="1"/>
      <c r="E245" s="1"/>
      <c r="F245" s="1"/>
    </row>
    <row r="246" spans="4:6">
      <c r="D246" s="1"/>
      <c r="E246" s="1"/>
      <c r="F246" s="1"/>
    </row>
    <row r="247" spans="4:6">
      <c r="D247" s="1"/>
      <c r="E247" s="1"/>
      <c r="F247" s="1"/>
    </row>
    <row r="248" spans="4:6">
      <c r="D248" s="1"/>
      <c r="E248" s="1"/>
      <c r="F248" s="1"/>
    </row>
    <row r="249" spans="4:6">
      <c r="D249" s="1"/>
      <c r="E249" s="1"/>
      <c r="F249" s="1"/>
    </row>
    <row r="250" spans="4:6">
      <c r="D250" s="1"/>
      <c r="E250" s="1"/>
      <c r="F250" s="1"/>
    </row>
    <row r="251" spans="4:6">
      <c r="D251" s="1"/>
      <c r="E251" s="1"/>
      <c r="F251" s="1"/>
    </row>
    <row r="252" spans="4:6">
      <c r="D252" s="1"/>
      <c r="E252" s="1"/>
      <c r="F252" s="1"/>
    </row>
    <row r="253" spans="4:6">
      <c r="D253" s="1"/>
      <c r="E253" s="1"/>
      <c r="F253" s="1"/>
    </row>
    <row r="254" spans="4:6">
      <c r="D254" s="1"/>
      <c r="E254" s="1"/>
      <c r="F254" s="1"/>
    </row>
    <row r="255" spans="4:6">
      <c r="D255" s="1"/>
      <c r="E255" s="1"/>
      <c r="F255" s="1"/>
    </row>
    <row r="256" spans="4:6">
      <c r="D256" s="1"/>
      <c r="E256" s="1"/>
      <c r="F256" s="1"/>
    </row>
    <row r="257" spans="4:6">
      <c r="D257" s="1"/>
      <c r="E257" s="1"/>
      <c r="F257" s="1"/>
    </row>
    <row r="258" spans="4:6">
      <c r="D258" s="1"/>
      <c r="E258" s="1"/>
      <c r="F258" s="1"/>
    </row>
    <row r="259" spans="4:6">
      <c r="D259" s="1"/>
      <c r="E259" s="1"/>
      <c r="F259" s="1"/>
    </row>
    <row r="260" spans="4:6">
      <c r="D260" s="1"/>
      <c r="E260" s="1"/>
      <c r="F260" s="1"/>
    </row>
    <row r="261" spans="4:6">
      <c r="D261" s="1"/>
      <c r="E261" s="1"/>
      <c r="F261" s="1"/>
    </row>
    <row r="262" spans="4:6">
      <c r="D262" s="1"/>
      <c r="E262" s="1"/>
      <c r="F262" s="1"/>
    </row>
    <row r="263" spans="4:6">
      <c r="D263" s="1"/>
      <c r="E263" s="1"/>
      <c r="F263" s="1"/>
    </row>
    <row r="264" spans="4:6">
      <c r="D264" s="1"/>
      <c r="E264" s="1"/>
      <c r="F264" s="1"/>
    </row>
    <row r="265" spans="4:6">
      <c r="D265" s="1"/>
      <c r="E265" s="1"/>
      <c r="F265" s="1"/>
    </row>
  </sheetData>
  <pageMargins left="0.35433070866141736" right="0.23622047244094491" top="0.47244094488188981" bottom="0.59055118110236227" header="0.15748031496062992" footer="0.31496062992125984"/>
  <pageSetup scale="55" orientation="portrait" r:id="rId1"/>
  <headerFooter>
    <oddFooter>Page &amp;P of &amp;N</oddFooter>
  </headerFooter>
  <rowBreaks count="1" manualBreakCount="1">
    <brk id="65" max="5" man="1"/>
  </row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2:G43"/>
  <sheetViews>
    <sheetView zoomScaleNormal="100" workbookViewId="0">
      <selection activeCell="L17" sqref="L17"/>
    </sheetView>
  </sheetViews>
  <sheetFormatPr baseColWidth="10" defaultColWidth="11.44140625" defaultRowHeight="15.6"/>
  <cols>
    <col min="1" max="1" width="28.33203125" style="1" customWidth="1"/>
    <col min="2" max="2" width="22" style="1" bestFit="1" customWidth="1"/>
    <col min="3" max="3" width="18" style="1" bestFit="1" customWidth="1"/>
    <col min="4" max="6" width="11.44140625" style="1"/>
    <col min="7" max="7" width="16.44140625" style="1" bestFit="1" customWidth="1"/>
    <col min="8" max="16384" width="11.44140625" style="1"/>
  </cols>
  <sheetData>
    <row r="2" spans="1:7">
      <c r="B2" s="65"/>
    </row>
    <row r="3" spans="1:7">
      <c r="B3" s="65"/>
    </row>
    <row r="4" spans="1:7" ht="16.2">
      <c r="A4" s="134"/>
      <c r="B4" s="134"/>
      <c r="C4" s="134"/>
      <c r="D4" s="134"/>
      <c r="E4" s="134"/>
    </row>
    <row r="5" spans="1:7" ht="16.2">
      <c r="A5" s="15" t="s">
        <v>845</v>
      </c>
      <c r="B5" s="245"/>
      <c r="C5" s="245"/>
      <c r="D5" s="245"/>
      <c r="E5" s="245"/>
    </row>
    <row r="6" spans="1:7" ht="16.2">
      <c r="A6" s="15" t="s">
        <v>675</v>
      </c>
      <c r="B6" s="245"/>
      <c r="C6" s="245"/>
      <c r="D6" s="245"/>
      <c r="E6" s="245"/>
      <c r="G6" s="2"/>
    </row>
    <row r="7" spans="1:7" ht="16.8" thickBot="1">
      <c r="A7" s="15"/>
      <c r="B7" s="245"/>
      <c r="C7" s="245"/>
      <c r="D7" s="245"/>
      <c r="E7" s="245"/>
      <c r="G7" s="2"/>
    </row>
    <row r="8" spans="1:7" ht="18.75" customHeight="1" thickBot="1">
      <c r="A8" s="249" t="s">
        <v>678</v>
      </c>
      <c r="B8" s="250" t="s">
        <v>287</v>
      </c>
      <c r="C8" s="53"/>
      <c r="G8" s="2"/>
    </row>
    <row r="9" spans="1:7">
      <c r="A9" s="247" t="s">
        <v>846</v>
      </c>
      <c r="B9" s="248">
        <v>477860</v>
      </c>
      <c r="C9" s="53"/>
      <c r="G9" s="2"/>
    </row>
    <row r="10" spans="1:7">
      <c r="A10" s="140" t="s">
        <v>847</v>
      </c>
      <c r="B10" s="246">
        <f>+'[1]Provision Regalia nav'!$H$7</f>
        <v>8399520</v>
      </c>
      <c r="C10" s="53"/>
      <c r="G10" s="2"/>
    </row>
    <row r="11" spans="1:7" ht="18">
      <c r="A11" s="140" t="s">
        <v>848</v>
      </c>
      <c r="B11" s="251">
        <v>870000</v>
      </c>
      <c r="C11" s="53"/>
      <c r="G11" s="2"/>
    </row>
    <row r="12" spans="1:7" ht="18">
      <c r="A12" s="244" t="s">
        <v>305</v>
      </c>
      <c r="B12" s="128">
        <f>SUM(B9:B11)</f>
        <v>9747380</v>
      </c>
      <c r="C12" s="53"/>
      <c r="G12" s="2"/>
    </row>
    <row r="13" spans="1:7">
      <c r="A13" s="140"/>
      <c r="B13" s="246"/>
      <c r="C13" s="53"/>
      <c r="G13" s="2"/>
    </row>
    <row r="14" spans="1:7">
      <c r="A14" s="65"/>
      <c r="B14" s="252"/>
      <c r="C14" s="53"/>
      <c r="G14" s="2"/>
    </row>
    <row r="15" spans="1:7" ht="16.2" thickBot="1">
      <c r="A15" s="86" t="s">
        <v>849</v>
      </c>
      <c r="B15" s="65"/>
      <c r="C15" s="53"/>
      <c r="G15" s="2"/>
    </row>
    <row r="16" spans="1:7" ht="16.8" thickBot="1">
      <c r="A16" s="1" t="s">
        <v>693</v>
      </c>
      <c r="B16" s="517">
        <f>+B12/12</f>
        <v>812281.66666666663</v>
      </c>
      <c r="G16" s="2"/>
    </row>
    <row r="17" spans="1:7" ht="16.2">
      <c r="A17" s="65"/>
      <c r="B17" s="53"/>
      <c r="C17" s="50"/>
      <c r="G17" s="2"/>
    </row>
    <row r="18" spans="1:7" ht="16.2">
      <c r="A18" s="1" t="s">
        <v>693</v>
      </c>
      <c r="B18" s="53">
        <f>+B16</f>
        <v>812281.66666666663</v>
      </c>
      <c r="C18" s="50"/>
      <c r="G18" s="2"/>
    </row>
    <row r="19" spans="1:7" ht="16.2">
      <c r="A19" s="65" t="s">
        <v>694</v>
      </c>
      <c r="B19" s="53">
        <v>739781.66</v>
      </c>
      <c r="C19" s="50"/>
      <c r="G19" s="2"/>
    </row>
    <row r="20" spans="1:7" ht="16.8" thickBot="1">
      <c r="A20" s="134" t="s">
        <v>695</v>
      </c>
      <c r="B20" s="518">
        <f>+B18-B19</f>
        <v>72500.006666666595</v>
      </c>
      <c r="C20" s="50"/>
      <c r="G20" s="2"/>
    </row>
    <row r="21" spans="1:7" ht="45" customHeight="1" thickTop="1">
      <c r="A21" s="65"/>
      <c r="B21" s="53"/>
      <c r="C21" s="50"/>
      <c r="G21" s="2"/>
    </row>
    <row r="22" spans="1:7">
      <c r="A22" s="1" t="s">
        <v>718</v>
      </c>
      <c r="B22" s="2">
        <f>+B16</f>
        <v>812281.66666666663</v>
      </c>
      <c r="C22" s="53"/>
      <c r="G22" s="2"/>
    </row>
    <row r="23" spans="1:7">
      <c r="A23" s="1" t="s">
        <v>850</v>
      </c>
      <c r="B23" s="2"/>
      <c r="C23" s="53"/>
    </row>
    <row r="24" spans="1:7">
      <c r="A24" s="1" t="s">
        <v>699</v>
      </c>
      <c r="B24" s="2"/>
      <c r="C24" s="53"/>
    </row>
    <row r="25" spans="1:7">
      <c r="A25" s="1" t="s">
        <v>700</v>
      </c>
      <c r="B25" s="2"/>
      <c r="C25" s="53"/>
    </row>
    <row r="26" spans="1:7">
      <c r="A26" s="1" t="s">
        <v>701</v>
      </c>
      <c r="B26" s="2"/>
      <c r="C26" s="53"/>
    </row>
    <row r="27" spans="1:7">
      <c r="A27" s="1" t="s">
        <v>702</v>
      </c>
      <c r="B27" s="2"/>
      <c r="C27" s="53"/>
    </row>
    <row r="28" spans="1:7">
      <c r="A28" s="1" t="s">
        <v>703</v>
      </c>
      <c r="B28" s="2"/>
      <c r="C28" s="53"/>
    </row>
    <row r="29" spans="1:7">
      <c r="A29" s="1" t="s">
        <v>704</v>
      </c>
      <c r="B29" s="2"/>
      <c r="C29" s="53"/>
    </row>
    <row r="30" spans="1:7">
      <c r="A30" s="1" t="s">
        <v>705</v>
      </c>
      <c r="B30" s="2"/>
      <c r="C30" s="53"/>
    </row>
    <row r="31" spans="1:7">
      <c r="A31" s="1" t="s">
        <v>706</v>
      </c>
      <c r="B31" s="2"/>
      <c r="C31" s="53"/>
    </row>
    <row r="32" spans="1:7">
      <c r="A32" s="1" t="s">
        <v>707</v>
      </c>
      <c r="B32" s="2"/>
      <c r="C32" s="53"/>
    </row>
    <row r="33" spans="1:4">
      <c r="A33" s="3" t="s">
        <v>851</v>
      </c>
      <c r="B33" s="26"/>
      <c r="C33" s="53"/>
    </row>
    <row r="34" spans="1:4" ht="16.8" thickBot="1">
      <c r="A34" s="275" t="s">
        <v>709</v>
      </c>
      <c r="B34" s="276">
        <f>SUM(B22:B33)</f>
        <v>812281.66666666663</v>
      </c>
    </row>
    <row r="35" spans="1:4" ht="16.2" thickTop="1">
      <c r="A35" s="65"/>
      <c r="B35" s="65"/>
      <c r="C35" s="2"/>
      <c r="D35" s="53"/>
    </row>
    <row r="43" spans="1:4">
      <c r="C43" s="18"/>
    </row>
  </sheetData>
  <phoneticPr fontId="43" type="noConversion"/>
  <pageMargins left="1.1023622047244095" right="0.70866141732283472" top="0.74803149606299213" bottom="0.74803149606299213" header="0.31496062992125984" footer="0.31496062992125984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7A020-B7FC-4810-BA6C-C89B01CB0D08}">
  <dimension ref="A2:D61"/>
  <sheetViews>
    <sheetView zoomScaleNormal="100" workbookViewId="0">
      <selection activeCell="L17" sqref="L17"/>
    </sheetView>
  </sheetViews>
  <sheetFormatPr baseColWidth="10" defaultColWidth="11.44140625" defaultRowHeight="24.75" customHeight="1"/>
  <cols>
    <col min="1" max="1" width="61.88671875" style="1" customWidth="1"/>
    <col min="2" max="2" width="23.6640625" style="1" customWidth="1"/>
    <col min="3" max="3" width="15.33203125" style="1" bestFit="1" customWidth="1"/>
    <col min="4" max="4" width="23.88671875" style="1" customWidth="1"/>
    <col min="5" max="5" width="15" style="1" customWidth="1"/>
    <col min="6" max="16384" width="11.44140625" style="1"/>
  </cols>
  <sheetData>
    <row r="2" spans="1:4" ht="24.75" customHeight="1">
      <c r="A2" s="15"/>
      <c r="B2" s="15"/>
    </row>
    <row r="3" spans="1:4" ht="24.75" customHeight="1">
      <c r="A3" s="15"/>
      <c r="B3" s="15"/>
    </row>
    <row r="4" spans="1:4" ht="24.75" customHeight="1">
      <c r="A4" s="551" t="s">
        <v>852</v>
      </c>
      <c r="B4" s="551"/>
    </row>
    <row r="5" spans="1:4" ht="24.75" customHeight="1">
      <c r="A5" s="551" t="s">
        <v>284</v>
      </c>
      <c r="B5" s="551"/>
    </row>
    <row r="6" spans="1:4" ht="24.75" customHeight="1">
      <c r="A6" s="551" t="s">
        <v>853</v>
      </c>
      <c r="B6" s="551"/>
    </row>
    <row r="7" spans="1:4" ht="24.75" customHeight="1">
      <c r="A7" s="563">
        <v>45688</v>
      </c>
      <c r="B7" s="563"/>
    </row>
    <row r="8" spans="1:4" ht="24.75" customHeight="1" thickBot="1">
      <c r="A8" s="68"/>
    </row>
    <row r="9" spans="1:4" ht="24.75" customHeight="1" thickBot="1">
      <c r="A9" s="156" t="s">
        <v>268</v>
      </c>
      <c r="B9" s="157" t="s">
        <v>287</v>
      </c>
    </row>
    <row r="10" spans="1:4" ht="24.75" customHeight="1">
      <c r="A10" s="158" t="s">
        <v>854</v>
      </c>
      <c r="B10" s="295">
        <v>159457.66</v>
      </c>
    </row>
    <row r="11" spans="1:4" ht="24.75" customHeight="1">
      <c r="A11" s="75" t="s">
        <v>855</v>
      </c>
      <c r="B11" s="235">
        <v>1616503.27</v>
      </c>
      <c r="D11" s="532"/>
    </row>
    <row r="12" spans="1:4" ht="24.75" customHeight="1">
      <c r="A12" s="75" t="s">
        <v>856</v>
      </c>
      <c r="B12" s="235">
        <v>112160.99</v>
      </c>
    </row>
    <row r="13" spans="1:4" ht="24.75" customHeight="1">
      <c r="A13" s="75" t="s">
        <v>857</v>
      </c>
      <c r="B13" s="230">
        <v>2156.3000000000002</v>
      </c>
    </row>
    <row r="14" spans="1:4" ht="24.75" customHeight="1">
      <c r="A14" s="75" t="s">
        <v>858</v>
      </c>
      <c r="B14" s="236">
        <v>21563.040000000001</v>
      </c>
    </row>
    <row r="15" spans="1:4" ht="24.75" customHeight="1">
      <c r="A15" s="80" t="s">
        <v>367</v>
      </c>
      <c r="B15" s="296">
        <f>SUM(B10:B14)</f>
        <v>1911841.26</v>
      </c>
    </row>
    <row r="16" spans="1:4" ht="24.75" customHeight="1" thickBot="1">
      <c r="A16" s="93"/>
      <c r="B16" s="297"/>
    </row>
    <row r="17" spans="1:3" ht="24.75" customHeight="1">
      <c r="A17" s="15"/>
      <c r="B17" s="15"/>
    </row>
    <row r="18" spans="1:3" ht="24.75" customHeight="1">
      <c r="A18" s="15"/>
      <c r="B18" s="325"/>
      <c r="C18" s="18"/>
    </row>
    <row r="19" spans="1:3" ht="24.75" customHeight="1">
      <c r="A19" s="15"/>
      <c r="B19" s="325"/>
      <c r="C19" s="18"/>
    </row>
    <row r="20" spans="1:3" ht="24.75" customHeight="1">
      <c r="A20" s="15"/>
      <c r="B20" s="325"/>
      <c r="C20" s="18"/>
    </row>
    <row r="21" spans="1:3" ht="24.75" customHeight="1">
      <c r="A21" s="15"/>
      <c r="B21" s="325"/>
      <c r="C21" s="18"/>
    </row>
    <row r="22" spans="1:3" ht="24.75" customHeight="1">
      <c r="A22" s="15"/>
      <c r="B22" s="325"/>
      <c r="C22" s="18"/>
    </row>
    <row r="23" spans="1:3" ht="24.75" customHeight="1">
      <c r="A23" s="551" t="str">
        <f>+A4</f>
        <v>NOTA 12</v>
      </c>
      <c r="B23" s="551"/>
    </row>
    <row r="24" spans="1:3" ht="24.75" customHeight="1">
      <c r="A24" s="551" t="str">
        <f>+A5</f>
        <v>Cédula de detalle de cuentas</v>
      </c>
      <c r="B24" s="551"/>
    </row>
    <row r="25" spans="1:3" ht="24.75" customHeight="1">
      <c r="A25" s="551" t="s">
        <v>857</v>
      </c>
      <c r="B25" s="551"/>
    </row>
    <row r="26" spans="1:3" ht="24.75" customHeight="1">
      <c r="A26" s="563">
        <f>+A7</f>
        <v>45688</v>
      </c>
      <c r="B26" s="563"/>
    </row>
    <row r="27" spans="1:3" ht="24.75" customHeight="1" thickBot="1">
      <c r="A27" s="68"/>
    </row>
    <row r="28" spans="1:3" ht="24.75" customHeight="1" thickBot="1">
      <c r="A28" s="70" t="s">
        <v>268</v>
      </c>
      <c r="B28" s="72" t="s">
        <v>287</v>
      </c>
    </row>
    <row r="29" spans="1:3" ht="24.75" hidden="1" customHeight="1">
      <c r="A29" s="73" t="s">
        <v>859</v>
      </c>
      <c r="B29" s="77"/>
    </row>
    <row r="30" spans="1:3" ht="24.75" hidden="1" customHeight="1">
      <c r="A30" s="73" t="s">
        <v>860</v>
      </c>
      <c r="B30" s="77"/>
    </row>
    <row r="31" spans="1:3" ht="24.75" customHeight="1">
      <c r="A31" s="73" t="s">
        <v>861</v>
      </c>
      <c r="B31" s="79">
        <v>2156.3000000000002</v>
      </c>
    </row>
    <row r="32" spans="1:3" ht="24.75" customHeight="1">
      <c r="A32" s="75"/>
      <c r="B32" s="82">
        <f>SUM(B29:B31)</f>
        <v>2156.3000000000002</v>
      </c>
    </row>
    <row r="33" spans="1:2" ht="24.75" customHeight="1" thickBot="1">
      <c r="A33" s="83"/>
      <c r="B33" s="240">
        <f>+B32-B13</f>
        <v>0</v>
      </c>
    </row>
    <row r="34" spans="1:2" ht="24.75" customHeight="1">
      <c r="B34" s="238"/>
    </row>
    <row r="35" spans="1:2" ht="24.75" customHeight="1">
      <c r="A35" s="15"/>
      <c r="B35" s="15"/>
    </row>
    <row r="36" spans="1:2" ht="24.75" customHeight="1">
      <c r="A36" s="551" t="str">
        <f>+A4</f>
        <v>NOTA 12</v>
      </c>
      <c r="B36" s="551"/>
    </row>
    <row r="37" spans="1:2" ht="24.75" customHeight="1">
      <c r="A37" s="551" t="str">
        <f>+A5</f>
        <v>Cédula de detalle de cuentas</v>
      </c>
      <c r="B37" s="551"/>
    </row>
    <row r="38" spans="1:2" ht="24.75" customHeight="1">
      <c r="A38" s="551" t="s">
        <v>858</v>
      </c>
      <c r="B38" s="551"/>
    </row>
    <row r="39" spans="1:2" ht="24.75" customHeight="1">
      <c r="A39" s="563">
        <f>+A7</f>
        <v>45688</v>
      </c>
      <c r="B39" s="563"/>
    </row>
    <row r="40" spans="1:2" ht="24.75" customHeight="1" thickBot="1">
      <c r="A40" s="68"/>
      <c r="B40" s="47"/>
    </row>
    <row r="41" spans="1:2" ht="24.75" customHeight="1" thickBot="1">
      <c r="A41" s="70" t="s">
        <v>268</v>
      </c>
      <c r="B41" s="72" t="s">
        <v>287</v>
      </c>
    </row>
    <row r="42" spans="1:2" ht="24.75" hidden="1" customHeight="1">
      <c r="A42" s="73" t="s">
        <v>859</v>
      </c>
      <c r="B42" s="77"/>
    </row>
    <row r="43" spans="1:2" ht="24.75" hidden="1" customHeight="1">
      <c r="A43" s="73" t="s">
        <v>860</v>
      </c>
      <c r="B43" s="77"/>
    </row>
    <row r="44" spans="1:2" ht="24.75" customHeight="1">
      <c r="A44" s="73" t="s">
        <v>861</v>
      </c>
      <c r="B44" s="79">
        <v>21563.040000000001</v>
      </c>
    </row>
    <row r="45" spans="1:2" ht="24.75" customHeight="1">
      <c r="A45" s="75"/>
      <c r="B45" s="82">
        <f>SUM(B42:B44)</f>
        <v>21563.040000000001</v>
      </c>
    </row>
    <row r="46" spans="1:2" ht="24.75" customHeight="1" thickBot="1">
      <c r="A46" s="83"/>
      <c r="B46" s="241">
        <f>+B14-B45</f>
        <v>0</v>
      </c>
    </row>
    <row r="47" spans="1:2" ht="24.75" customHeight="1">
      <c r="B47" s="238"/>
    </row>
    <row r="48" spans="1:2" ht="24.75" customHeight="1">
      <c r="A48" s="15"/>
      <c r="B48" s="15"/>
    </row>
    <row r="50" spans="1:4" ht="24.75" customHeight="1">
      <c r="A50" s="15"/>
      <c r="B50" s="15"/>
    </row>
    <row r="51" spans="1:4" ht="24.75" customHeight="1">
      <c r="A51" s="551" t="s">
        <v>852</v>
      </c>
      <c r="B51" s="551"/>
    </row>
    <row r="52" spans="1:4" ht="24.75" customHeight="1">
      <c r="A52" s="551" t="s">
        <v>284</v>
      </c>
      <c r="B52" s="551"/>
    </row>
    <row r="53" spans="1:4" ht="24.75" customHeight="1">
      <c r="A53" s="551" t="s">
        <v>862</v>
      </c>
      <c r="B53" s="551"/>
    </row>
    <row r="54" spans="1:4" ht="24.75" customHeight="1">
      <c r="A54" s="563">
        <f>+A7</f>
        <v>45688</v>
      </c>
      <c r="B54" s="563"/>
    </row>
    <row r="55" spans="1:4" ht="24.75" customHeight="1" thickBot="1">
      <c r="A55" s="68"/>
      <c r="B55" s="47"/>
    </row>
    <row r="56" spans="1:4" ht="24.75" customHeight="1" thickBot="1">
      <c r="A56" s="70" t="s">
        <v>268</v>
      </c>
      <c r="B56" s="72" t="s">
        <v>287</v>
      </c>
    </row>
    <row r="57" spans="1:4" ht="24.75" customHeight="1">
      <c r="A57" s="73" t="s">
        <v>863</v>
      </c>
      <c r="B57" s="77"/>
    </row>
    <row r="58" spans="1:4" ht="24.75" customHeight="1">
      <c r="A58" s="73" t="s">
        <v>864</v>
      </c>
      <c r="B58" s="79"/>
    </row>
    <row r="59" spans="1:4" ht="24.75" customHeight="1">
      <c r="A59" s="75"/>
      <c r="B59" s="82">
        <f>SUM(B57:B58)</f>
        <v>0</v>
      </c>
      <c r="D59" s="18"/>
    </row>
    <row r="60" spans="1:4" ht="24.75" customHeight="1" thickBot="1">
      <c r="A60" s="83"/>
      <c r="B60" s="241">
        <f>+B11-B59</f>
        <v>1616503.27</v>
      </c>
    </row>
    <row r="61" spans="1:4" ht="24.75" customHeight="1">
      <c r="B61" s="238"/>
    </row>
  </sheetData>
  <mergeCells count="16">
    <mergeCell ref="A54:B54"/>
    <mergeCell ref="A52:B52"/>
    <mergeCell ref="A51:B51"/>
    <mergeCell ref="A53:B53"/>
    <mergeCell ref="A4:B4"/>
    <mergeCell ref="A5:B5"/>
    <mergeCell ref="A6:B6"/>
    <mergeCell ref="A7:B7"/>
    <mergeCell ref="A36:B36"/>
    <mergeCell ref="A37:B37"/>
    <mergeCell ref="A38:B38"/>
    <mergeCell ref="A39:B39"/>
    <mergeCell ref="A23:B23"/>
    <mergeCell ref="A24:B24"/>
    <mergeCell ref="A25:B25"/>
    <mergeCell ref="A26:B26"/>
  </mergeCells>
  <pageMargins left="0.9055118110236221" right="0.70866141732283472" top="0.74803149606299213" bottom="0.74803149606299213" header="0.31496062992125984" footer="0.31496062992125984"/>
  <pageSetup orientation="portrait" r:id="rId1"/>
  <rowBreaks count="1" manualBreakCount="1">
    <brk id="19" max="1" man="1"/>
  </rowBreak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D19"/>
  <sheetViews>
    <sheetView zoomScaleNormal="100" workbookViewId="0">
      <selection activeCell="L17" sqref="L17"/>
    </sheetView>
  </sheetViews>
  <sheetFormatPr baseColWidth="10" defaultColWidth="9.109375" defaultRowHeight="24.75" customHeight="1"/>
  <cols>
    <col min="1" max="1" width="45.6640625" style="1" customWidth="1"/>
    <col min="2" max="2" width="23.44140625" style="1" customWidth="1"/>
    <col min="3" max="3" width="9.109375" style="1"/>
    <col min="4" max="4" width="19" style="1" bestFit="1" customWidth="1"/>
    <col min="5" max="16384" width="9.109375" style="1"/>
  </cols>
  <sheetData>
    <row r="2" spans="1:4" ht="24.75" customHeight="1">
      <c r="A2" s="551"/>
      <c r="B2" s="551"/>
    </row>
    <row r="3" spans="1:4" ht="24.75" customHeight="1">
      <c r="A3" s="551" t="s">
        <v>865</v>
      </c>
      <c r="B3" s="551"/>
    </row>
    <row r="4" spans="1:4" ht="24.75" customHeight="1">
      <c r="A4" s="551" t="s">
        <v>284</v>
      </c>
      <c r="B4" s="551"/>
    </row>
    <row r="5" spans="1:4" ht="24.75" customHeight="1">
      <c r="A5" s="551" t="s">
        <v>866</v>
      </c>
      <c r="B5" s="551"/>
    </row>
    <row r="6" spans="1:4" ht="24.75" customHeight="1">
      <c r="A6" s="563">
        <v>45688</v>
      </c>
      <c r="B6" s="563"/>
    </row>
    <row r="7" spans="1:4" ht="24.75" customHeight="1" thickBot="1"/>
    <row r="8" spans="1:4" ht="24.75" customHeight="1" thickBot="1">
      <c r="A8" s="70" t="s">
        <v>268</v>
      </c>
      <c r="B8" s="72" t="s">
        <v>287</v>
      </c>
    </row>
    <row r="9" spans="1:4" ht="24.75" customHeight="1">
      <c r="A9" s="59" t="s">
        <v>867</v>
      </c>
      <c r="B9" s="486">
        <v>0</v>
      </c>
      <c r="D9" s="356"/>
    </row>
    <row r="10" spans="1:4" ht="24.75" hidden="1" customHeight="1">
      <c r="A10" s="59" t="s">
        <v>868</v>
      </c>
      <c r="B10" s="242"/>
      <c r="D10" s="356"/>
    </row>
    <row r="11" spans="1:4" ht="24.75" hidden="1" customHeight="1">
      <c r="A11" s="59" t="s">
        <v>116</v>
      </c>
      <c r="B11" s="242"/>
      <c r="D11" s="356"/>
    </row>
    <row r="12" spans="1:4" ht="24.75" customHeight="1">
      <c r="A12" s="243" t="s">
        <v>587</v>
      </c>
      <c r="B12" s="90">
        <f>SUM(B9:B11)</f>
        <v>0</v>
      </c>
      <c r="D12" s="18"/>
    </row>
    <row r="13" spans="1:4" ht="24.75" customHeight="1">
      <c r="A13" s="115"/>
      <c r="B13" s="115"/>
    </row>
    <row r="15" spans="1:4" ht="24.75" customHeight="1">
      <c r="B15" s="371"/>
    </row>
    <row r="17" spans="1:2" ht="24.75" customHeight="1">
      <c r="B17" s="2"/>
    </row>
    <row r="19" spans="1:2" ht="24.75" customHeight="1">
      <c r="A19" s="551"/>
      <c r="B19" s="551"/>
    </row>
  </sheetData>
  <mergeCells count="6">
    <mergeCell ref="A19:B19"/>
    <mergeCell ref="A3:B3"/>
    <mergeCell ref="A5:B5"/>
    <mergeCell ref="A6:B6"/>
    <mergeCell ref="A2:B2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rowBreaks count="1" manualBreakCount="1">
    <brk id="16" max="16383" man="1"/>
  </rowBreak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B16"/>
  <sheetViews>
    <sheetView zoomScale="140" zoomScaleNormal="140" workbookViewId="0">
      <selection activeCell="L17" sqref="L17"/>
    </sheetView>
  </sheetViews>
  <sheetFormatPr baseColWidth="10" defaultColWidth="11.44140625" defaultRowHeight="13.2"/>
  <sheetData>
    <row r="1" spans="1:2">
      <c r="B1" t="s">
        <v>869</v>
      </c>
    </row>
    <row r="3" spans="1:2">
      <c r="A3">
        <v>1</v>
      </c>
      <c r="B3" t="s">
        <v>870</v>
      </c>
    </row>
    <row r="4" spans="1:2">
      <c r="A4">
        <v>2</v>
      </c>
      <c r="B4" t="s">
        <v>871</v>
      </c>
    </row>
    <row r="5" spans="1:2">
      <c r="A5">
        <v>3</v>
      </c>
      <c r="B5" t="s">
        <v>872</v>
      </c>
    </row>
    <row r="6" spans="1:2">
      <c r="A6">
        <v>4</v>
      </c>
      <c r="B6" t="s">
        <v>873</v>
      </c>
    </row>
    <row r="7" spans="1:2">
      <c r="A7">
        <v>5</v>
      </c>
      <c r="B7" t="s">
        <v>874</v>
      </c>
    </row>
    <row r="8" spans="1:2">
      <c r="A8">
        <v>6</v>
      </c>
      <c r="B8" t="s">
        <v>875</v>
      </c>
    </row>
    <row r="9" spans="1:2">
      <c r="A9">
        <v>7</v>
      </c>
      <c r="B9" t="s">
        <v>876</v>
      </c>
    </row>
    <row r="10" spans="1:2">
      <c r="A10">
        <v>8</v>
      </c>
      <c r="B10" s="299" t="s">
        <v>877</v>
      </c>
    </row>
    <row r="11" spans="1:2">
      <c r="A11">
        <v>9</v>
      </c>
      <c r="B11" t="s">
        <v>878</v>
      </c>
    </row>
    <row r="12" spans="1:2">
      <c r="A12">
        <v>10</v>
      </c>
      <c r="B12" t="s">
        <v>879</v>
      </c>
    </row>
    <row r="13" spans="1:2">
      <c r="A13">
        <v>11</v>
      </c>
      <c r="B13" s="299" t="s">
        <v>880</v>
      </c>
    </row>
    <row r="14" spans="1:2">
      <c r="A14">
        <v>12</v>
      </c>
      <c r="B14" t="s">
        <v>881</v>
      </c>
    </row>
    <row r="16" spans="1:2">
      <c r="B16" t="s">
        <v>882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39997558519241921"/>
  </sheetPr>
  <dimension ref="B2:N207"/>
  <sheetViews>
    <sheetView view="pageBreakPreview" topLeftCell="A55" zoomScale="90" zoomScaleNormal="100" zoomScaleSheetLayoutView="90" workbookViewId="0">
      <selection activeCell="E69" sqref="E69"/>
    </sheetView>
  </sheetViews>
  <sheetFormatPr baseColWidth="10" defaultColWidth="11.5546875" defaultRowHeight="15.6"/>
  <cols>
    <col min="1" max="1" width="4.5546875" style="1" customWidth="1"/>
    <col min="2" max="2" width="74.109375" style="1" customWidth="1"/>
    <col min="3" max="3" width="14.33203125" style="17" customWidth="1"/>
    <col min="4" max="5" width="23.44140625" style="49" bestFit="1" customWidth="1"/>
    <col min="6" max="6" width="25.88671875" style="49" customWidth="1"/>
    <col min="7" max="7" width="2.5546875" style="1" customWidth="1"/>
    <col min="8" max="8" width="28.44140625" style="1" customWidth="1"/>
    <col min="9" max="9" width="15.88671875" style="1" bestFit="1" customWidth="1"/>
    <col min="10" max="10" width="11.5546875" style="1"/>
    <col min="11" max="11" width="13.5546875" style="1" customWidth="1"/>
    <col min="12" max="12" width="12.88671875" style="1" bestFit="1" customWidth="1"/>
    <col min="13" max="13" width="11.5546875" style="1"/>
    <col min="14" max="14" width="13.5546875" style="1" customWidth="1"/>
    <col min="15" max="16384" width="11.5546875" style="1"/>
  </cols>
  <sheetData>
    <row r="2" spans="2:6" ht="27" customHeight="1"/>
    <row r="4" spans="2:6" s="7" customFormat="1" ht="24.75" customHeight="1">
      <c r="B4" s="46" t="s">
        <v>156</v>
      </c>
      <c r="C4" s="488"/>
      <c r="D4" s="5"/>
      <c r="E4" s="5"/>
      <c r="F4" s="5"/>
    </row>
    <row r="5" spans="2:6" s="7" customFormat="1" ht="24.75" customHeight="1">
      <c r="B5" s="15" t="s">
        <v>3</v>
      </c>
      <c r="C5" s="488"/>
      <c r="D5" s="5"/>
      <c r="E5" s="5"/>
      <c r="F5" s="5"/>
    </row>
    <row r="6" spans="2:6" s="7" customFormat="1" ht="24.75" customHeight="1">
      <c r="B6" s="46" t="s">
        <v>67</v>
      </c>
      <c r="C6" s="488"/>
      <c r="D6" s="5"/>
      <c r="E6" s="5"/>
      <c r="F6" s="5"/>
    </row>
    <row r="7" spans="2:6" s="7" customFormat="1" ht="18">
      <c r="C7" s="488"/>
      <c r="D7" s="5"/>
      <c r="E7" s="5"/>
      <c r="F7" s="5"/>
    </row>
    <row r="8" spans="2:6" s="7" customFormat="1" ht="37.5" customHeight="1">
      <c r="C8" s="338" t="s">
        <v>5</v>
      </c>
      <c r="D8" s="338" t="s">
        <v>157</v>
      </c>
      <c r="E8" s="338" t="s">
        <v>158</v>
      </c>
      <c r="F8" s="338" t="s">
        <v>8</v>
      </c>
    </row>
    <row r="9" spans="2:6" ht="16.2">
      <c r="C9" s="339"/>
      <c r="D9" s="45"/>
      <c r="E9" s="45"/>
      <c r="F9" s="45"/>
    </row>
    <row r="10" spans="2:6" ht="20.100000000000001" customHeight="1">
      <c r="C10" s="339" t="s">
        <v>77</v>
      </c>
      <c r="D10" s="45"/>
      <c r="E10" s="45"/>
      <c r="F10" s="45"/>
    </row>
    <row r="11" spans="2:6" s="405" customFormat="1" ht="24.75" customHeight="1">
      <c r="B11" s="401" t="s">
        <v>159</v>
      </c>
      <c r="C11" s="402">
        <v>15</v>
      </c>
      <c r="D11" s="403"/>
      <c r="E11" s="404"/>
      <c r="F11" s="404"/>
    </row>
    <row r="12" spans="2:6" ht="20.100000000000001" customHeight="1">
      <c r="B12" s="1" t="s">
        <v>160</v>
      </c>
      <c r="C12" s="339"/>
      <c r="E12" s="45"/>
      <c r="F12" s="45">
        <f>D12-E12</f>
        <v>0</v>
      </c>
    </row>
    <row r="13" spans="2:6" ht="20.100000000000001" customHeight="1">
      <c r="B13" s="489" t="s">
        <v>161</v>
      </c>
      <c r="C13" s="339"/>
      <c r="E13" s="45"/>
      <c r="F13" s="45">
        <f>D13-E13</f>
        <v>0</v>
      </c>
    </row>
    <row r="14" spans="2:6" ht="20.100000000000001" customHeight="1">
      <c r="B14" s="489" t="s">
        <v>162</v>
      </c>
      <c r="C14" s="339"/>
      <c r="E14" s="45"/>
      <c r="F14" s="45">
        <f>D14-E14</f>
        <v>0</v>
      </c>
    </row>
    <row r="15" spans="2:6" ht="15.75" customHeight="1">
      <c r="C15" s="317" t="s">
        <v>163</v>
      </c>
      <c r="E15" s="45"/>
      <c r="F15" s="45"/>
    </row>
    <row r="16" spans="2:6" s="405" customFormat="1" ht="41.25" customHeight="1">
      <c r="B16" s="490" t="s">
        <v>164</v>
      </c>
      <c r="C16" s="402"/>
      <c r="D16" s="406">
        <f>SUM(D12:D15)</f>
        <v>0</v>
      </c>
      <c r="E16" s="406">
        <f>SUM(E12:E15)</f>
        <v>0</v>
      </c>
      <c r="F16" s="407">
        <f>SUM(F12:F15)</f>
        <v>0</v>
      </c>
    </row>
    <row r="17" spans="2:8" ht="20.100000000000001" customHeight="1">
      <c r="C17" s="339" t="s">
        <v>77</v>
      </c>
      <c r="E17" s="45"/>
      <c r="F17" s="45"/>
    </row>
    <row r="18" spans="2:8" ht="20.100000000000001" customHeight="1">
      <c r="C18" s="339" t="s">
        <v>77</v>
      </c>
      <c r="D18" s="538"/>
      <c r="E18" s="45"/>
      <c r="F18" s="45"/>
    </row>
    <row r="19" spans="2:8" s="405" customFormat="1" ht="24.75" customHeight="1">
      <c r="B19" s="401" t="s">
        <v>165</v>
      </c>
      <c r="C19" s="402">
        <v>16</v>
      </c>
      <c r="D19" s="403"/>
      <c r="E19" s="404"/>
      <c r="F19" s="404"/>
    </row>
    <row r="20" spans="2:8" ht="20.100000000000001" customHeight="1">
      <c r="B20" s="1" t="s">
        <v>166</v>
      </c>
      <c r="C20" s="339"/>
      <c r="D20" s="277">
        <v>9783913.6899999995</v>
      </c>
      <c r="E20" s="277"/>
      <c r="F20" s="45">
        <f>D20-E20</f>
        <v>9783913.6899999995</v>
      </c>
      <c r="H20" s="18"/>
    </row>
    <row r="21" spans="2:8" ht="20.100000000000001" customHeight="1">
      <c r="C21" s="317" t="s">
        <v>163</v>
      </c>
      <c r="E21" s="45"/>
      <c r="F21" s="45"/>
    </row>
    <row r="22" spans="2:8" s="401" customFormat="1" ht="24.75" customHeight="1">
      <c r="B22" s="401" t="s">
        <v>167</v>
      </c>
      <c r="C22" s="402"/>
      <c r="D22" s="406">
        <f>SUM(D20:D20)</f>
        <v>9783913.6899999995</v>
      </c>
      <c r="E22" s="406">
        <f>SUM(E20:E20)</f>
        <v>0</v>
      </c>
      <c r="F22" s="407">
        <f>SUM(F20:F20)</f>
        <v>9783913.6899999995</v>
      </c>
    </row>
    <row r="23" spans="2:8" ht="20.100000000000001" customHeight="1">
      <c r="C23" s="339" t="s">
        <v>77</v>
      </c>
      <c r="D23" s="277"/>
      <c r="E23" s="45"/>
      <c r="F23" s="45"/>
    </row>
    <row r="24" spans="2:8" ht="20.100000000000001" customHeight="1">
      <c r="C24" s="339" t="s">
        <v>77</v>
      </c>
      <c r="E24" s="45"/>
      <c r="F24" s="45"/>
    </row>
    <row r="25" spans="2:8" s="405" customFormat="1" ht="24.75" customHeight="1">
      <c r="B25" s="401" t="s">
        <v>168</v>
      </c>
      <c r="C25" s="402">
        <v>17</v>
      </c>
      <c r="D25" s="403"/>
      <c r="E25" s="404"/>
      <c r="F25" s="404"/>
    </row>
    <row r="26" spans="2:8" ht="20.100000000000001" customHeight="1">
      <c r="B26" s="1" t="s">
        <v>169</v>
      </c>
      <c r="C26" s="339" t="s">
        <v>77</v>
      </c>
      <c r="D26" s="277">
        <v>230805.06</v>
      </c>
      <c r="E26" s="277"/>
      <c r="F26" s="45">
        <f>D26-E26</f>
        <v>230805.06</v>
      </c>
    </row>
    <row r="27" spans="2:8" ht="20.100000000000001" customHeight="1">
      <c r="C27" s="317" t="s">
        <v>163</v>
      </c>
      <c r="E27" s="45"/>
      <c r="F27" s="45"/>
    </row>
    <row r="28" spans="2:8" s="401" customFormat="1" ht="24.75" customHeight="1">
      <c r="B28" s="401" t="s">
        <v>170</v>
      </c>
      <c r="C28" s="402"/>
      <c r="D28" s="406">
        <f>SUM(D26:D26)</f>
        <v>230805.06</v>
      </c>
      <c r="E28" s="407">
        <f>SUM(E26:E26)</f>
        <v>0</v>
      </c>
      <c r="F28" s="407">
        <f>SUM(F26:F26)</f>
        <v>230805.06</v>
      </c>
    </row>
    <row r="29" spans="2:8" ht="20.100000000000001" customHeight="1">
      <c r="C29" s="339" t="s">
        <v>77</v>
      </c>
      <c r="E29" s="45"/>
      <c r="F29" s="45"/>
    </row>
    <row r="30" spans="2:8" ht="20.100000000000001" customHeight="1">
      <c r="C30" s="339" t="s">
        <v>77</v>
      </c>
      <c r="E30" s="45"/>
      <c r="F30" s="45"/>
    </row>
    <row r="31" spans="2:8" s="405" customFormat="1" ht="24.75" customHeight="1">
      <c r="B31" s="401" t="s">
        <v>171</v>
      </c>
      <c r="C31" s="402">
        <v>18</v>
      </c>
      <c r="D31" s="403"/>
      <c r="E31" s="404"/>
      <c r="F31" s="404"/>
    </row>
    <row r="32" spans="2:8" ht="20.100000000000001" customHeight="1">
      <c r="B32" s="1" t="s">
        <v>172</v>
      </c>
      <c r="C32" s="339" t="s">
        <v>77</v>
      </c>
      <c r="D32" s="277">
        <v>8399520</v>
      </c>
      <c r="E32" s="277"/>
      <c r="F32" s="45">
        <f t="shared" ref="F32:F49" si="0">D32-E32</f>
        <v>8399520</v>
      </c>
    </row>
    <row r="33" spans="2:6" ht="20.100000000000001" hidden="1" customHeight="1">
      <c r="B33" s="1" t="s">
        <v>173</v>
      </c>
      <c r="C33" s="339"/>
      <c r="D33" s="277"/>
      <c r="E33" s="277"/>
      <c r="F33" s="45">
        <f t="shared" si="0"/>
        <v>0</v>
      </c>
    </row>
    <row r="34" spans="2:6" ht="20.100000000000001" customHeight="1">
      <c r="B34" s="1" t="s">
        <v>174</v>
      </c>
      <c r="C34" s="339" t="s">
        <v>77</v>
      </c>
      <c r="D34" s="277">
        <v>459845</v>
      </c>
      <c r="E34" s="277"/>
      <c r="F34" s="45">
        <f t="shared" si="0"/>
        <v>459845</v>
      </c>
    </row>
    <row r="35" spans="2:6" ht="20.100000000000001" customHeight="1">
      <c r="B35" s="1" t="s">
        <v>175</v>
      </c>
      <c r="C35" s="339"/>
      <c r="D35" s="277">
        <v>36391.21</v>
      </c>
      <c r="E35" s="277"/>
      <c r="F35" s="45">
        <f t="shared" si="0"/>
        <v>36391.21</v>
      </c>
    </row>
    <row r="36" spans="2:6" ht="20.100000000000001" customHeight="1">
      <c r="B36" s="1" t="s">
        <v>176</v>
      </c>
      <c r="C36" s="339"/>
      <c r="D36" s="277">
        <v>700000</v>
      </c>
      <c r="E36" s="277"/>
      <c r="F36" s="45">
        <f t="shared" si="0"/>
        <v>700000</v>
      </c>
    </row>
    <row r="37" spans="2:6" ht="20.100000000000001" customHeight="1">
      <c r="B37" s="1" t="s">
        <v>177</v>
      </c>
      <c r="C37" s="339" t="s">
        <v>77</v>
      </c>
      <c r="D37" s="277">
        <v>477860</v>
      </c>
      <c r="E37" s="277"/>
      <c r="F37" s="45">
        <f t="shared" si="0"/>
        <v>477860</v>
      </c>
    </row>
    <row r="38" spans="2:6" ht="20.100000000000001" customHeight="1">
      <c r="B38" s="1" t="s">
        <v>178</v>
      </c>
      <c r="C38" s="339"/>
      <c r="D38" s="277">
        <v>870000</v>
      </c>
      <c r="E38" s="277"/>
      <c r="F38" s="45">
        <f t="shared" si="0"/>
        <v>870000</v>
      </c>
    </row>
    <row r="39" spans="2:6" ht="20.100000000000001" customHeight="1">
      <c r="B39" s="1" t="s">
        <v>179</v>
      </c>
      <c r="C39" s="339"/>
      <c r="D39" s="277">
        <v>339157</v>
      </c>
      <c r="E39" s="277"/>
      <c r="F39" s="45">
        <f t="shared" si="0"/>
        <v>339157</v>
      </c>
    </row>
    <row r="40" spans="2:6" ht="20.100000000000001" customHeight="1">
      <c r="B40" s="1" t="s">
        <v>180</v>
      </c>
      <c r="C40" s="339"/>
      <c r="D40" s="277">
        <v>22420</v>
      </c>
      <c r="E40" s="277"/>
      <c r="F40" s="45">
        <f t="shared" si="0"/>
        <v>22420</v>
      </c>
    </row>
    <row r="41" spans="2:6" ht="20.100000000000001" hidden="1" customHeight="1">
      <c r="B41" s="1" t="s">
        <v>181</v>
      </c>
      <c r="C41" s="339"/>
      <c r="D41" s="277"/>
      <c r="E41" s="277"/>
      <c r="F41" s="45">
        <f t="shared" si="0"/>
        <v>0</v>
      </c>
    </row>
    <row r="42" spans="2:6" ht="20.100000000000001" customHeight="1">
      <c r="B42" s="1" t="s">
        <v>182</v>
      </c>
      <c r="C42" s="339"/>
      <c r="D42" s="277">
        <v>76009.279999999999</v>
      </c>
      <c r="E42" s="277"/>
      <c r="F42" s="45">
        <f t="shared" si="0"/>
        <v>76009.279999999999</v>
      </c>
    </row>
    <row r="43" spans="2:6" ht="20.100000000000001" customHeight="1">
      <c r="B43" s="1" t="s">
        <v>183</v>
      </c>
      <c r="C43" s="339" t="s">
        <v>77</v>
      </c>
      <c r="D43" s="277">
        <v>812281.67</v>
      </c>
      <c r="E43" s="277"/>
      <c r="F43" s="45">
        <f t="shared" si="0"/>
        <v>812281.67</v>
      </c>
    </row>
    <row r="44" spans="2:6" ht="20.100000000000001" customHeight="1">
      <c r="B44" s="1" t="s">
        <v>184</v>
      </c>
      <c r="C44" s="339" t="s">
        <v>77</v>
      </c>
      <c r="D44" s="277">
        <v>3849511.68</v>
      </c>
      <c r="E44" s="277"/>
      <c r="F44" s="45">
        <f t="shared" si="0"/>
        <v>3849511.68</v>
      </c>
    </row>
    <row r="45" spans="2:6" ht="20.100000000000001" hidden="1" customHeight="1">
      <c r="B45" s="1" t="s">
        <v>185</v>
      </c>
      <c r="C45" s="339" t="s">
        <v>77</v>
      </c>
      <c r="D45" s="277"/>
      <c r="E45" s="277"/>
      <c r="F45" s="45">
        <f t="shared" si="0"/>
        <v>0</v>
      </c>
    </row>
    <row r="46" spans="2:6" ht="20.100000000000001" customHeight="1">
      <c r="B46" s="1" t="s">
        <v>186</v>
      </c>
      <c r="C46" s="339" t="s">
        <v>77</v>
      </c>
      <c r="D46" s="277">
        <v>426664.17</v>
      </c>
      <c r="E46" s="277"/>
      <c r="F46" s="45">
        <f t="shared" si="0"/>
        <v>426664.17</v>
      </c>
    </row>
    <row r="47" spans="2:6" ht="20.100000000000001" hidden="1" customHeight="1">
      <c r="B47" s="1" t="s">
        <v>187</v>
      </c>
      <c r="C47" s="339" t="s">
        <v>77</v>
      </c>
      <c r="D47" s="277"/>
      <c r="E47" s="277"/>
      <c r="F47" s="45">
        <f t="shared" si="0"/>
        <v>0</v>
      </c>
    </row>
    <row r="48" spans="2:6" ht="20.100000000000001" customHeight="1">
      <c r="B48" s="1" t="s">
        <v>188</v>
      </c>
      <c r="C48" s="339" t="s">
        <v>77</v>
      </c>
      <c r="D48" s="277">
        <v>319181.76</v>
      </c>
      <c r="E48" s="277"/>
      <c r="F48" s="45">
        <f t="shared" si="0"/>
        <v>319181.76</v>
      </c>
    </row>
    <row r="49" spans="2:8" ht="20.100000000000001" customHeight="1">
      <c r="B49" s="1" t="s">
        <v>189</v>
      </c>
      <c r="C49" s="339" t="s">
        <v>77</v>
      </c>
      <c r="D49" s="277">
        <v>1140900.78</v>
      </c>
      <c r="E49" s="277"/>
      <c r="F49" s="45">
        <f t="shared" si="0"/>
        <v>1140900.78</v>
      </c>
    </row>
    <row r="50" spans="2:8" ht="20.100000000000001" customHeight="1">
      <c r="C50" s="317" t="s">
        <v>163</v>
      </c>
      <c r="E50" s="45"/>
      <c r="F50" s="45"/>
    </row>
    <row r="51" spans="2:8" s="401" customFormat="1" ht="24.75" customHeight="1">
      <c r="B51" s="401" t="s">
        <v>190</v>
      </c>
      <c r="C51" s="402"/>
      <c r="D51" s="406">
        <f>SUM(D32:D49)</f>
        <v>17929742.550000001</v>
      </c>
      <c r="E51" s="406">
        <f>SUM(E32:E49)</f>
        <v>0</v>
      </c>
      <c r="F51" s="406">
        <f>SUM(F32:F49)</f>
        <v>17929742.550000001</v>
      </c>
    </row>
    <row r="52" spans="2:8" ht="20.100000000000001" customHeight="1">
      <c r="C52" s="339" t="s">
        <v>77</v>
      </c>
      <c r="D52" s="277"/>
      <c r="E52" s="45"/>
      <c r="F52" s="45"/>
    </row>
    <row r="53" spans="2:8" ht="20.100000000000001" customHeight="1">
      <c r="C53" s="339" t="s">
        <v>77</v>
      </c>
      <c r="D53" s="277"/>
      <c r="E53" s="45"/>
      <c r="F53" s="45"/>
    </row>
    <row r="54" spans="2:8" s="405" customFormat="1" ht="24.75" customHeight="1">
      <c r="B54" s="401" t="s">
        <v>191</v>
      </c>
      <c r="C54" s="402">
        <v>19</v>
      </c>
      <c r="D54" s="403"/>
      <c r="E54" s="404"/>
      <c r="F54" s="404"/>
      <c r="H54" s="408"/>
    </row>
    <row r="55" spans="2:8" ht="20.100000000000001" customHeight="1">
      <c r="B55" s="1" t="s">
        <v>192</v>
      </c>
      <c r="C55" s="339" t="s">
        <v>77</v>
      </c>
      <c r="D55" s="277">
        <v>159133.20000000001</v>
      </c>
      <c r="E55" s="277"/>
      <c r="F55" s="45">
        <f>D55-E55</f>
        <v>159133.20000000001</v>
      </c>
    </row>
    <row r="56" spans="2:8" ht="20.100000000000001" customHeight="1">
      <c r="B56" s="1" t="s">
        <v>193</v>
      </c>
      <c r="C56" s="339" t="s">
        <v>77</v>
      </c>
      <c r="D56" s="277">
        <v>175252.66</v>
      </c>
      <c r="E56" s="277"/>
      <c r="F56" s="45">
        <f t="shared" ref="F56:F87" si="1">D56-E56</f>
        <v>175252.66</v>
      </c>
    </row>
    <row r="57" spans="2:8" ht="20.100000000000001" customHeight="1">
      <c r="B57" s="1" t="s">
        <v>194</v>
      </c>
      <c r="C57" s="339" t="s">
        <v>77</v>
      </c>
      <c r="D57" s="277">
        <v>501576.22</v>
      </c>
      <c r="E57" s="277"/>
      <c r="F57" s="45">
        <f t="shared" si="1"/>
        <v>501576.22</v>
      </c>
    </row>
    <row r="58" spans="2:8" ht="20.100000000000001" customHeight="1">
      <c r="B58" s="1" t="s">
        <v>195</v>
      </c>
      <c r="C58" s="339" t="s">
        <v>77</v>
      </c>
      <c r="D58" s="277">
        <v>27213.58</v>
      </c>
      <c r="E58" s="277"/>
      <c r="F58" s="45">
        <f t="shared" si="1"/>
        <v>27213.58</v>
      </c>
    </row>
    <row r="59" spans="2:8" ht="20.100000000000001" customHeight="1">
      <c r="B59" s="1" t="s">
        <v>196</v>
      </c>
      <c r="C59" s="339" t="s">
        <v>77</v>
      </c>
      <c r="D59" s="277">
        <v>6554.74</v>
      </c>
      <c r="E59" s="277"/>
      <c r="F59" s="45">
        <f t="shared" si="1"/>
        <v>6554.74</v>
      </c>
    </row>
    <row r="60" spans="2:8" ht="20.100000000000001" customHeight="1">
      <c r="B60" s="1" t="s">
        <v>197</v>
      </c>
      <c r="C60" s="339" t="s">
        <v>77</v>
      </c>
      <c r="D60" s="277">
        <v>8250</v>
      </c>
      <c r="E60" s="277"/>
      <c r="F60" s="45">
        <f t="shared" si="1"/>
        <v>8250</v>
      </c>
    </row>
    <row r="61" spans="2:8" ht="20.100000000000001" hidden="1" customHeight="1">
      <c r="B61" s="1" t="s">
        <v>198</v>
      </c>
      <c r="C61" s="339"/>
      <c r="D61" s="277"/>
      <c r="E61" s="277"/>
      <c r="F61" s="45">
        <f>D61-E61</f>
        <v>0</v>
      </c>
    </row>
    <row r="62" spans="2:8" ht="20.100000000000001" hidden="1" customHeight="1">
      <c r="B62" s="1" t="s">
        <v>199</v>
      </c>
      <c r="C62" s="339"/>
      <c r="D62" s="277"/>
      <c r="E62" s="277"/>
      <c r="F62" s="45">
        <f t="shared" si="1"/>
        <v>0</v>
      </c>
    </row>
    <row r="63" spans="2:8" ht="20.100000000000001" hidden="1" customHeight="1">
      <c r="B63" s="1" t="s">
        <v>200</v>
      </c>
      <c r="C63" s="339"/>
      <c r="D63" s="277"/>
      <c r="E63" s="277"/>
      <c r="F63" s="45">
        <f t="shared" si="1"/>
        <v>0</v>
      </c>
    </row>
    <row r="64" spans="2:8" ht="20.100000000000001" hidden="1" customHeight="1">
      <c r="B64" s="1" t="s">
        <v>201</v>
      </c>
      <c r="C64" s="339"/>
      <c r="D64" s="277"/>
      <c r="E64" s="277"/>
      <c r="F64" s="45">
        <f t="shared" ref="F64:F65" si="2">D64-E64</f>
        <v>0</v>
      </c>
    </row>
    <row r="65" spans="2:6" ht="20.100000000000001" customHeight="1">
      <c r="B65" s="1" t="s">
        <v>202</v>
      </c>
      <c r="C65" s="339"/>
      <c r="D65" s="277">
        <v>4450</v>
      </c>
      <c r="E65" s="277"/>
      <c r="F65" s="45">
        <f t="shared" si="2"/>
        <v>4450</v>
      </c>
    </row>
    <row r="66" spans="2:6" ht="20.100000000000001" hidden="1" customHeight="1">
      <c r="B66" s="1" t="s">
        <v>203</v>
      </c>
      <c r="C66" s="339"/>
      <c r="D66" s="277"/>
      <c r="E66" s="277"/>
      <c r="F66" s="45">
        <f t="shared" si="1"/>
        <v>0</v>
      </c>
    </row>
    <row r="67" spans="2:6" ht="20.100000000000001" hidden="1" customHeight="1">
      <c r="B67" s="1" t="s">
        <v>204</v>
      </c>
      <c r="C67" s="339"/>
      <c r="D67" s="277"/>
      <c r="E67" s="277"/>
      <c r="F67" s="45">
        <f t="shared" si="1"/>
        <v>0</v>
      </c>
    </row>
    <row r="68" spans="2:6" ht="20.100000000000001" customHeight="1">
      <c r="B68" s="1" t="s">
        <v>205</v>
      </c>
      <c r="C68" s="339"/>
      <c r="D68" s="277">
        <v>83337.5</v>
      </c>
      <c r="E68" s="277"/>
      <c r="F68" s="45">
        <f t="shared" si="1"/>
        <v>83337.5</v>
      </c>
    </row>
    <row r="69" spans="2:6" ht="20.100000000000001" customHeight="1">
      <c r="B69" s="1" t="s">
        <v>206</v>
      </c>
      <c r="C69" s="339"/>
      <c r="D69" s="277">
        <v>82220.62</v>
      </c>
      <c r="E69" s="532"/>
      <c r="F69" s="45">
        <f t="shared" si="1"/>
        <v>82220.62</v>
      </c>
    </row>
    <row r="70" spans="2:6" ht="20.100000000000001" customHeight="1">
      <c r="B70" s="1" t="s">
        <v>207</v>
      </c>
      <c r="C70" s="339" t="s">
        <v>77</v>
      </c>
      <c r="D70" s="277">
        <v>788648.7</v>
      </c>
      <c r="E70" s="277"/>
      <c r="F70" s="45">
        <f t="shared" si="1"/>
        <v>788648.7</v>
      </c>
    </row>
    <row r="71" spans="2:6" ht="20.100000000000001" hidden="1" customHeight="1">
      <c r="B71" s="1" t="s">
        <v>208</v>
      </c>
      <c r="C71" s="339"/>
      <c r="D71" s="277"/>
      <c r="E71" s="277"/>
      <c r="F71" s="45">
        <f t="shared" si="1"/>
        <v>0</v>
      </c>
    </row>
    <row r="72" spans="2:6" ht="20.100000000000001" customHeight="1">
      <c r="B72" s="1" t="s">
        <v>209</v>
      </c>
      <c r="C72" s="339" t="s">
        <v>77</v>
      </c>
      <c r="D72" s="277">
        <v>613200.26</v>
      </c>
      <c r="E72" s="277"/>
      <c r="F72" s="45">
        <f t="shared" si="1"/>
        <v>613200.26</v>
      </c>
    </row>
    <row r="73" spans="2:6" ht="20.100000000000001" hidden="1" customHeight="1">
      <c r="B73" s="1" t="s">
        <v>210</v>
      </c>
      <c r="C73" s="339"/>
      <c r="D73" s="277"/>
      <c r="E73" s="277"/>
      <c r="F73" s="45">
        <f>D73-E73</f>
        <v>0</v>
      </c>
    </row>
    <row r="74" spans="2:6" ht="20.100000000000001" hidden="1" customHeight="1">
      <c r="B74" s="1" t="s">
        <v>211</v>
      </c>
      <c r="C74" s="339"/>
      <c r="D74" s="277"/>
      <c r="E74" s="277"/>
      <c r="F74" s="45">
        <f t="shared" ref="F74:F79" si="3">D74-E74</f>
        <v>0</v>
      </c>
    </row>
    <row r="75" spans="2:6" ht="20.100000000000001" hidden="1" customHeight="1">
      <c r="B75" s="1" t="s">
        <v>212</v>
      </c>
      <c r="C75" s="339"/>
      <c r="D75" s="277"/>
      <c r="E75" s="277"/>
      <c r="F75" s="45">
        <f t="shared" si="3"/>
        <v>0</v>
      </c>
    </row>
    <row r="76" spans="2:6" ht="20.100000000000001" hidden="1" customHeight="1">
      <c r="B76" s="1" t="s">
        <v>213</v>
      </c>
      <c r="C76" s="339"/>
      <c r="D76" s="277"/>
      <c r="E76" s="277"/>
      <c r="F76" s="45">
        <f t="shared" si="3"/>
        <v>0</v>
      </c>
    </row>
    <row r="77" spans="2:6" ht="20.100000000000001" hidden="1" customHeight="1">
      <c r="B77" s="1" t="s">
        <v>214</v>
      </c>
      <c r="C77" s="339"/>
      <c r="D77" s="277"/>
      <c r="E77" s="277"/>
      <c r="F77" s="45">
        <f t="shared" si="3"/>
        <v>0</v>
      </c>
    </row>
    <row r="78" spans="2:6" ht="20.100000000000001" customHeight="1">
      <c r="B78" s="1" t="s">
        <v>215</v>
      </c>
      <c r="C78" s="339" t="s">
        <v>77</v>
      </c>
      <c r="D78" s="277">
        <v>670</v>
      </c>
      <c r="E78" s="277"/>
      <c r="F78" s="45">
        <f t="shared" si="3"/>
        <v>670</v>
      </c>
    </row>
    <row r="79" spans="2:6" ht="20.100000000000001" hidden="1" customHeight="1">
      <c r="B79" s="1" t="s">
        <v>216</v>
      </c>
      <c r="C79" s="339"/>
      <c r="D79" s="277"/>
      <c r="E79" s="277"/>
      <c r="F79" s="45">
        <f t="shared" si="3"/>
        <v>0</v>
      </c>
    </row>
    <row r="80" spans="2:6" ht="20.100000000000001" hidden="1" customHeight="1">
      <c r="B80" s="1" t="s">
        <v>217</v>
      </c>
      <c r="C80" s="339"/>
      <c r="D80" s="277"/>
      <c r="E80" s="277"/>
      <c r="F80" s="45">
        <f t="shared" ref="F80" si="4">D80-E80</f>
        <v>0</v>
      </c>
    </row>
    <row r="81" spans="2:6" ht="20.100000000000001" customHeight="1">
      <c r="B81" s="1" t="s">
        <v>218</v>
      </c>
      <c r="C81" s="339"/>
      <c r="D81" s="277">
        <v>296500</v>
      </c>
      <c r="E81" s="277"/>
      <c r="F81" s="45">
        <f t="shared" si="1"/>
        <v>296500</v>
      </c>
    </row>
    <row r="82" spans="2:6" ht="20.100000000000001" customHeight="1">
      <c r="B82" s="1" t="s">
        <v>219</v>
      </c>
      <c r="C82" s="339"/>
      <c r="D82" s="277">
        <v>67260</v>
      </c>
      <c r="E82" s="277"/>
      <c r="F82" s="45">
        <f t="shared" si="1"/>
        <v>67260</v>
      </c>
    </row>
    <row r="83" spans="2:6" ht="20.100000000000001" customHeight="1">
      <c r="B83" s="1" t="s">
        <v>220</v>
      </c>
      <c r="C83" s="339"/>
      <c r="D83" s="277">
        <v>68194622.719999999</v>
      </c>
      <c r="E83" s="277"/>
      <c r="F83" s="45">
        <f t="shared" si="1"/>
        <v>68194622.719999999</v>
      </c>
    </row>
    <row r="84" spans="2:6" ht="20.100000000000001" hidden="1" customHeight="1">
      <c r="B84" s="1" t="s">
        <v>221</v>
      </c>
      <c r="C84" s="339"/>
      <c r="D84" s="277"/>
      <c r="E84" s="277"/>
      <c r="F84" s="45">
        <f t="shared" si="1"/>
        <v>0</v>
      </c>
    </row>
    <row r="85" spans="2:6" ht="20.100000000000001" customHeight="1">
      <c r="B85" s="1" t="s">
        <v>222</v>
      </c>
      <c r="C85" s="339"/>
      <c r="D85" s="277">
        <v>10485</v>
      </c>
      <c r="E85" s="277"/>
      <c r="F85" s="45">
        <f t="shared" ref="F85" si="5">D85-E85</f>
        <v>10485</v>
      </c>
    </row>
    <row r="86" spans="2:6" ht="20.100000000000001" hidden="1" customHeight="1">
      <c r="B86" s="1" t="s">
        <v>223</v>
      </c>
      <c r="C86" s="339"/>
      <c r="D86" s="277"/>
      <c r="E86" s="277"/>
      <c r="F86" s="45">
        <f t="shared" si="1"/>
        <v>0</v>
      </c>
    </row>
    <row r="87" spans="2:6" ht="20.100000000000001" hidden="1" customHeight="1">
      <c r="B87" s="1" t="s">
        <v>223</v>
      </c>
      <c r="C87" s="340"/>
      <c r="D87" s="49">
        <v>0</v>
      </c>
      <c r="E87" s="45">
        <v>0</v>
      </c>
      <c r="F87" s="45">
        <f t="shared" si="1"/>
        <v>0</v>
      </c>
    </row>
    <row r="88" spans="2:6" ht="20.100000000000001" customHeight="1">
      <c r="C88" s="317" t="s">
        <v>163</v>
      </c>
      <c r="E88" s="45"/>
      <c r="F88" s="45"/>
    </row>
    <row r="89" spans="2:6" s="401" customFormat="1" ht="24.75" customHeight="1">
      <c r="B89" s="401" t="s">
        <v>224</v>
      </c>
      <c r="C89" s="402" t="s">
        <v>77</v>
      </c>
      <c r="D89" s="406">
        <f>SUM(D55:D87)</f>
        <v>71019375.200000003</v>
      </c>
      <c r="E89" s="406">
        <f t="shared" ref="E89:F89" si="6">SUM(E55:E87)</f>
        <v>0</v>
      </c>
      <c r="F89" s="406">
        <f t="shared" si="6"/>
        <v>71019375.200000003</v>
      </c>
    </row>
    <row r="90" spans="2:6" ht="20.100000000000001" customHeight="1">
      <c r="C90" s="339" t="s">
        <v>77</v>
      </c>
      <c r="E90" s="45"/>
      <c r="F90" s="45"/>
    </row>
    <row r="91" spans="2:6" ht="20.100000000000001" customHeight="1">
      <c r="C91" s="339" t="s">
        <v>77</v>
      </c>
      <c r="F91" s="45"/>
    </row>
    <row r="92" spans="2:6" s="405" customFormat="1" ht="24.75" customHeight="1">
      <c r="B92" s="401" t="s">
        <v>225</v>
      </c>
      <c r="C92" s="402">
        <v>20</v>
      </c>
      <c r="D92" s="403"/>
      <c r="E92" s="404"/>
      <c r="F92" s="404"/>
    </row>
    <row r="93" spans="2:6" ht="20.100000000000001" customHeight="1">
      <c r="B93" s="1" t="s">
        <v>226</v>
      </c>
      <c r="C93" s="339" t="s">
        <v>77</v>
      </c>
      <c r="D93" s="277">
        <v>90048.76</v>
      </c>
      <c r="E93" s="277"/>
      <c r="F93" s="45">
        <f>D93-E93</f>
        <v>90048.76</v>
      </c>
    </row>
    <row r="94" spans="2:6" ht="20.100000000000001" hidden="1" customHeight="1">
      <c r="B94" s="1" t="s">
        <v>227</v>
      </c>
      <c r="C94" s="339"/>
      <c r="D94" s="277"/>
      <c r="E94" s="277"/>
      <c r="F94" s="45">
        <f t="shared" ref="F94" si="7">D94-E94</f>
        <v>0</v>
      </c>
    </row>
    <row r="95" spans="2:6" ht="20.100000000000001" hidden="1" customHeight="1">
      <c r="B95" s="1" t="s">
        <v>228</v>
      </c>
      <c r="C95" s="339"/>
      <c r="D95" s="277"/>
      <c r="E95" s="277"/>
      <c r="F95" s="45">
        <f t="shared" ref="F95:F112" si="8">D95-E95</f>
        <v>0</v>
      </c>
    </row>
    <row r="96" spans="2:6" ht="20.100000000000001" customHeight="1">
      <c r="B96" s="1" t="s">
        <v>229</v>
      </c>
      <c r="C96" s="339" t="s">
        <v>77</v>
      </c>
      <c r="D96" s="277">
        <v>31113.01</v>
      </c>
      <c r="E96" s="277"/>
      <c r="F96" s="45">
        <f t="shared" si="8"/>
        <v>31113.01</v>
      </c>
    </row>
    <row r="97" spans="2:6" ht="20.100000000000001" hidden="1" customHeight="1">
      <c r="B97" s="1" t="s">
        <v>230</v>
      </c>
      <c r="C97" s="339" t="s">
        <v>77</v>
      </c>
      <c r="D97" s="277"/>
      <c r="E97" s="277"/>
      <c r="F97" s="45">
        <f t="shared" si="8"/>
        <v>0</v>
      </c>
    </row>
    <row r="98" spans="2:6" ht="20.100000000000001" customHeight="1">
      <c r="B98" s="1" t="s">
        <v>231</v>
      </c>
      <c r="C98" s="339" t="s">
        <v>77</v>
      </c>
      <c r="D98" s="277">
        <v>532850</v>
      </c>
      <c r="E98" s="277"/>
      <c r="F98" s="45">
        <f t="shared" si="8"/>
        <v>532850</v>
      </c>
    </row>
    <row r="99" spans="2:6" ht="20.100000000000001" hidden="1" customHeight="1">
      <c r="B99" s="1" t="s">
        <v>232</v>
      </c>
      <c r="C99" s="339"/>
      <c r="D99" s="277"/>
      <c r="E99" s="277"/>
      <c r="F99" s="45">
        <f>D99-E99</f>
        <v>0</v>
      </c>
    </row>
    <row r="100" spans="2:6" ht="20.100000000000001" hidden="1" customHeight="1">
      <c r="B100" s="1" t="s">
        <v>233</v>
      </c>
      <c r="C100" s="339"/>
      <c r="D100" s="277"/>
      <c r="E100" s="277"/>
      <c r="F100" s="45">
        <f>D100-E100</f>
        <v>0</v>
      </c>
    </row>
    <row r="101" spans="2:6" ht="20.100000000000001" hidden="1" customHeight="1">
      <c r="B101" s="1" t="s">
        <v>234</v>
      </c>
      <c r="C101" s="339"/>
      <c r="D101" s="277"/>
      <c r="E101" s="277"/>
      <c r="F101" s="45">
        <f t="shared" si="8"/>
        <v>0</v>
      </c>
    </row>
    <row r="102" spans="2:6" ht="20.100000000000001" hidden="1" customHeight="1">
      <c r="B102" s="1" t="s">
        <v>235</v>
      </c>
      <c r="C102" s="339" t="s">
        <v>77</v>
      </c>
      <c r="D102" s="277"/>
      <c r="E102" s="277"/>
      <c r="F102" s="45">
        <f t="shared" si="8"/>
        <v>0</v>
      </c>
    </row>
    <row r="103" spans="2:6" ht="20.100000000000001" customHeight="1">
      <c r="B103" s="1" t="s">
        <v>236</v>
      </c>
      <c r="C103" s="339" t="s">
        <v>77</v>
      </c>
      <c r="D103" s="277">
        <v>8446.07</v>
      </c>
      <c r="E103" s="277"/>
      <c r="F103" s="45">
        <f t="shared" si="8"/>
        <v>8446.07</v>
      </c>
    </row>
    <row r="104" spans="2:6" ht="20.100000000000001" hidden="1" customHeight="1">
      <c r="B104" s="1" t="s">
        <v>237</v>
      </c>
      <c r="C104" s="339"/>
      <c r="D104" s="277"/>
      <c r="E104" s="277"/>
      <c r="F104" s="45">
        <f t="shared" si="8"/>
        <v>0</v>
      </c>
    </row>
    <row r="105" spans="2:6" ht="20.100000000000001" customHeight="1">
      <c r="B105" s="1" t="s">
        <v>238</v>
      </c>
      <c r="C105" s="339" t="s">
        <v>77</v>
      </c>
      <c r="D105" s="277">
        <v>6615.04</v>
      </c>
      <c r="E105" s="277"/>
      <c r="F105" s="45">
        <f t="shared" si="8"/>
        <v>6615.04</v>
      </c>
    </row>
    <row r="106" spans="2:6" ht="20.100000000000001" customHeight="1">
      <c r="B106" s="1" t="s">
        <v>239</v>
      </c>
      <c r="C106" s="339" t="s">
        <v>77</v>
      </c>
      <c r="D106" s="277">
        <v>3500</v>
      </c>
      <c r="E106" s="277"/>
      <c r="F106" s="45">
        <f>D106-E106</f>
        <v>3500</v>
      </c>
    </row>
    <row r="107" spans="2:6" ht="20.100000000000001" hidden="1" customHeight="1">
      <c r="B107" s="1" t="s">
        <v>240</v>
      </c>
      <c r="C107" s="339"/>
      <c r="D107" s="277"/>
      <c r="E107" s="277"/>
      <c r="F107" s="45">
        <f t="shared" si="8"/>
        <v>0</v>
      </c>
    </row>
    <row r="108" spans="2:6" ht="20.100000000000001" customHeight="1">
      <c r="B108" s="1" t="s">
        <v>241</v>
      </c>
      <c r="C108" s="339" t="s">
        <v>77</v>
      </c>
      <c r="D108" s="277">
        <v>112352.83</v>
      </c>
      <c r="E108" s="277"/>
      <c r="F108" s="45">
        <f t="shared" si="8"/>
        <v>112352.83</v>
      </c>
    </row>
    <row r="109" spans="2:6" ht="20.100000000000001" customHeight="1">
      <c r="B109" s="1" t="s">
        <v>242</v>
      </c>
      <c r="C109" s="339" t="s">
        <v>77</v>
      </c>
      <c r="D109" s="277">
        <v>535558.53</v>
      </c>
      <c r="E109" s="277"/>
      <c r="F109" s="45">
        <f t="shared" si="8"/>
        <v>535558.53</v>
      </c>
    </row>
    <row r="110" spans="2:6" ht="20.100000000000001" customHeight="1">
      <c r="B110" s="1" t="s">
        <v>243</v>
      </c>
      <c r="C110" s="339"/>
      <c r="D110" s="277">
        <v>102397.66</v>
      </c>
      <c r="E110" s="277"/>
      <c r="F110" s="45">
        <f t="shared" si="8"/>
        <v>102397.66</v>
      </c>
    </row>
    <row r="111" spans="2:6" ht="20.100000000000001" customHeight="1">
      <c r="B111" s="1" t="s">
        <v>244</v>
      </c>
      <c r="C111" s="339" t="s">
        <v>77</v>
      </c>
      <c r="D111" s="277">
        <v>335900</v>
      </c>
      <c r="E111" s="277"/>
      <c r="F111" s="45">
        <f>D111-E111</f>
        <v>335900</v>
      </c>
    </row>
    <row r="112" spans="2:6" ht="20.100000000000001" customHeight="1">
      <c r="B112" s="1" t="s">
        <v>245</v>
      </c>
      <c r="C112" s="339"/>
      <c r="D112" s="277">
        <v>16730.45</v>
      </c>
      <c r="E112" s="277"/>
      <c r="F112" s="45">
        <f t="shared" si="8"/>
        <v>16730.45</v>
      </c>
    </row>
    <row r="113" spans="2:6" ht="20.100000000000001" customHeight="1">
      <c r="C113" s="317" t="s">
        <v>163</v>
      </c>
      <c r="E113" s="45"/>
      <c r="F113" s="45"/>
    </row>
    <row r="114" spans="2:6" s="401" customFormat="1" ht="24.75" customHeight="1">
      <c r="B114" s="401" t="s">
        <v>246</v>
      </c>
      <c r="C114" s="402" t="s">
        <v>77</v>
      </c>
      <c r="D114" s="406">
        <f>SUM(D93:D112)</f>
        <v>1775512.3499999999</v>
      </c>
      <c r="E114" s="406">
        <f>SUM(E93:E112)</f>
        <v>0</v>
      </c>
      <c r="F114" s="406">
        <f>SUM(F93:F112)</f>
        <v>1775512.3499999999</v>
      </c>
    </row>
    <row r="115" spans="2:6" ht="20.100000000000001" customHeight="1">
      <c r="C115" s="339" t="s">
        <v>77</v>
      </c>
      <c r="E115" s="341"/>
      <c r="F115" s="45"/>
    </row>
    <row r="116" spans="2:6" ht="20.100000000000001" customHeight="1">
      <c r="C116" s="339" t="s">
        <v>77</v>
      </c>
      <c r="D116" s="277"/>
      <c r="E116" s="45"/>
      <c r="F116" s="45"/>
    </row>
    <row r="117" spans="2:6" s="405" customFormat="1" ht="24.75" customHeight="1">
      <c r="B117" s="401" t="s">
        <v>247</v>
      </c>
      <c r="C117" s="402">
        <v>21</v>
      </c>
      <c r="D117" s="409"/>
      <c r="E117" s="404"/>
      <c r="F117" s="404"/>
    </row>
    <row r="118" spans="2:6" ht="20.100000000000001" hidden="1" customHeight="1">
      <c r="B118" s="1" t="s">
        <v>248</v>
      </c>
      <c r="C118" s="339" t="s">
        <v>77</v>
      </c>
      <c r="D118" s="277"/>
      <c r="E118" s="277"/>
      <c r="F118" s="45">
        <f t="shared" ref="F118:F129" si="9">D118-E118</f>
        <v>0</v>
      </c>
    </row>
    <row r="119" spans="2:6" ht="20.100000000000001" hidden="1" customHeight="1">
      <c r="B119" s="1" t="s">
        <v>249</v>
      </c>
      <c r="C119" s="339"/>
      <c r="D119" s="277"/>
      <c r="E119" s="277"/>
      <c r="F119" s="45">
        <f t="shared" si="9"/>
        <v>0</v>
      </c>
    </row>
    <row r="120" spans="2:6" ht="20.100000000000001" hidden="1" customHeight="1">
      <c r="B120" s="1" t="s">
        <v>250</v>
      </c>
      <c r="C120" s="339"/>
      <c r="D120" s="277"/>
      <c r="E120" s="277"/>
      <c r="F120" s="45">
        <f t="shared" si="9"/>
        <v>0</v>
      </c>
    </row>
    <row r="121" spans="2:6" ht="20.100000000000001" hidden="1" customHeight="1">
      <c r="B121" s="1" t="s">
        <v>251</v>
      </c>
      <c r="C121" s="339"/>
      <c r="D121" s="277"/>
      <c r="E121" s="277"/>
      <c r="F121" s="45">
        <f t="shared" si="9"/>
        <v>0</v>
      </c>
    </row>
    <row r="122" spans="2:6" ht="20.100000000000001" hidden="1" customHeight="1">
      <c r="B122" s="1" t="s">
        <v>252</v>
      </c>
      <c r="C122" s="339"/>
      <c r="D122" s="277"/>
      <c r="E122" s="277"/>
      <c r="F122" s="45">
        <f t="shared" si="9"/>
        <v>0</v>
      </c>
    </row>
    <row r="123" spans="2:6" ht="20.100000000000001" hidden="1" customHeight="1">
      <c r="B123" s="1" t="s">
        <v>253</v>
      </c>
      <c r="C123" s="339"/>
      <c r="D123" s="277"/>
      <c r="E123" s="277"/>
      <c r="F123" s="45">
        <f t="shared" si="9"/>
        <v>0</v>
      </c>
    </row>
    <row r="124" spans="2:6" ht="20.100000000000001" customHeight="1">
      <c r="B124" s="1" t="s">
        <v>254</v>
      </c>
      <c r="C124" s="339"/>
      <c r="D124" s="277">
        <v>681935.88</v>
      </c>
      <c r="E124" s="277"/>
      <c r="F124" s="45">
        <f>D124-E124</f>
        <v>681935.88</v>
      </c>
    </row>
    <row r="125" spans="2:6" ht="20.100000000000001" hidden="1" customHeight="1">
      <c r="B125" s="1" t="s">
        <v>255</v>
      </c>
      <c r="C125" s="339"/>
      <c r="D125" s="277"/>
      <c r="E125" s="277"/>
      <c r="F125" s="45">
        <f>D125-E125</f>
        <v>0</v>
      </c>
    </row>
    <row r="126" spans="2:6" ht="20.100000000000001" hidden="1" customHeight="1">
      <c r="B126" s="1" t="s">
        <v>256</v>
      </c>
      <c r="C126" s="339"/>
      <c r="D126" s="277"/>
      <c r="E126" s="277"/>
      <c r="F126" s="45">
        <f>D126-E126</f>
        <v>0</v>
      </c>
    </row>
    <row r="127" spans="2:6" ht="20.100000000000001" hidden="1" customHeight="1">
      <c r="B127" s="1" t="s">
        <v>257</v>
      </c>
      <c r="C127" s="339"/>
      <c r="D127" s="277"/>
      <c r="E127" s="277"/>
      <c r="F127" s="45">
        <f>D127-E127</f>
        <v>0</v>
      </c>
    </row>
    <row r="128" spans="2:6" ht="20.100000000000001" hidden="1" customHeight="1">
      <c r="B128" s="1" t="s">
        <v>258</v>
      </c>
      <c r="C128" s="339"/>
      <c r="D128" s="277"/>
      <c r="E128" s="277"/>
      <c r="F128" s="45">
        <f t="shared" ref="F128" si="10">D128-E128</f>
        <v>0</v>
      </c>
    </row>
    <row r="129" spans="2:8" ht="20.100000000000001" hidden="1" customHeight="1">
      <c r="B129" s="1" t="s">
        <v>259</v>
      </c>
      <c r="C129" s="339"/>
      <c r="D129" s="277"/>
      <c r="E129" s="277"/>
      <c r="F129" s="45">
        <f t="shared" si="9"/>
        <v>0</v>
      </c>
    </row>
    <row r="130" spans="2:8" ht="20.100000000000001" customHeight="1">
      <c r="C130" s="317" t="s">
        <v>163</v>
      </c>
      <c r="E130" s="45"/>
      <c r="F130" s="45"/>
    </row>
    <row r="131" spans="2:8" s="401" customFormat="1" ht="24.75" customHeight="1">
      <c r="B131" s="401" t="s">
        <v>260</v>
      </c>
      <c r="C131" s="402" t="s">
        <v>77</v>
      </c>
      <c r="D131" s="406">
        <f>SUM(D118:D130)</f>
        <v>681935.88</v>
      </c>
      <c r="E131" s="407">
        <f>SUM(E118:E130)</f>
        <v>0</v>
      </c>
      <c r="F131" s="407">
        <f>SUM(F118:F130)</f>
        <v>681935.88</v>
      </c>
    </row>
    <row r="132" spans="2:8" ht="20.100000000000001" customHeight="1">
      <c r="C132" s="339" t="s">
        <v>77</v>
      </c>
      <c r="E132" s="45"/>
      <c r="F132" s="45"/>
    </row>
    <row r="133" spans="2:8" ht="20.100000000000001" customHeight="1">
      <c r="C133" s="339" t="s">
        <v>77</v>
      </c>
      <c r="D133" s="539"/>
      <c r="E133" s="45"/>
      <c r="F133" s="45"/>
    </row>
    <row r="134" spans="2:8" s="405" customFormat="1" ht="24.75" customHeight="1">
      <c r="B134" s="401" t="s">
        <v>261</v>
      </c>
      <c r="C134" s="402">
        <v>22</v>
      </c>
      <c r="D134" s="403"/>
      <c r="E134" s="404"/>
      <c r="F134" s="404"/>
    </row>
    <row r="135" spans="2:8" s="65" customFormat="1" ht="20.100000000000001" customHeight="1">
      <c r="B135" s="65" t="s">
        <v>262</v>
      </c>
      <c r="C135" s="339" t="s">
        <v>77</v>
      </c>
      <c r="D135" s="49">
        <v>12700.58</v>
      </c>
      <c r="E135" s="49"/>
      <c r="F135" s="45">
        <f>D135-E135</f>
        <v>12700.58</v>
      </c>
      <c r="G135" s="45">
        <f>E135-F135</f>
        <v>-12700.58</v>
      </c>
    </row>
    <row r="136" spans="2:8" s="65" customFormat="1" ht="20.100000000000001" hidden="1" customHeight="1">
      <c r="B136" s="1" t="s">
        <v>263</v>
      </c>
      <c r="C136" s="339" t="s">
        <v>77</v>
      </c>
      <c r="D136" s="324"/>
      <c r="E136" s="324"/>
      <c r="F136" s="45">
        <f>D136-E136</f>
        <v>0</v>
      </c>
      <c r="G136" s="45"/>
    </row>
    <row r="137" spans="2:8" ht="20.100000000000001" hidden="1" customHeight="1">
      <c r="B137" s="1" t="s">
        <v>264</v>
      </c>
      <c r="C137" s="366"/>
      <c r="D137" s="324"/>
      <c r="E137" s="324"/>
      <c r="F137" s="45">
        <f>D137-E137</f>
        <v>0</v>
      </c>
      <c r="H137" s="341"/>
    </row>
    <row r="138" spans="2:8" ht="20.100000000000001" customHeight="1">
      <c r="B138" s="18"/>
      <c r="C138" s="317" t="s">
        <v>163</v>
      </c>
      <c r="D138" s="45"/>
      <c r="E138" s="45"/>
      <c r="F138" s="45"/>
    </row>
    <row r="139" spans="2:8" s="401" customFormat="1" ht="24.75" customHeight="1">
      <c r="B139" s="401" t="s">
        <v>265</v>
      </c>
      <c r="C139" s="402" t="s">
        <v>77</v>
      </c>
      <c r="D139" s="406">
        <f>SUM(D135:D138)</f>
        <v>12700.58</v>
      </c>
      <c r="E139" s="407">
        <f>SUM(E135:E138)</f>
        <v>0</v>
      </c>
      <c r="F139" s="407">
        <f>SUM(F135:F138)</f>
        <v>12700.58</v>
      </c>
    </row>
    <row r="140" spans="2:8" ht="20.100000000000001" customHeight="1">
      <c r="C140" s="339" t="s">
        <v>77</v>
      </c>
      <c r="D140" s="45"/>
      <c r="E140" s="45"/>
      <c r="F140" s="45"/>
    </row>
    <row r="141" spans="2:8" ht="16.2">
      <c r="C141" s="339"/>
      <c r="D141" s="324"/>
      <c r="E141" s="45"/>
      <c r="F141" s="45"/>
    </row>
    <row r="142" spans="2:8" ht="16.2">
      <c r="C142" s="339"/>
      <c r="E142" s="45"/>
      <c r="F142" s="45"/>
    </row>
    <row r="143" spans="2:8" ht="16.2">
      <c r="C143" s="339"/>
      <c r="D143" s="45"/>
      <c r="E143" s="45"/>
      <c r="F143" s="45"/>
    </row>
    <row r="144" spans="2:8" ht="16.2">
      <c r="C144" s="339"/>
      <c r="D144" s="45"/>
      <c r="E144" s="45"/>
      <c r="F144" s="45"/>
    </row>
    <row r="145" spans="3:6" ht="16.2">
      <c r="C145" s="339"/>
      <c r="D145" s="45"/>
      <c r="E145" s="45"/>
      <c r="F145" s="45"/>
    </row>
    <row r="146" spans="3:6" ht="16.2">
      <c r="C146" s="339"/>
      <c r="D146" s="45"/>
      <c r="E146" s="45"/>
      <c r="F146" s="45"/>
    </row>
    <row r="147" spans="3:6" ht="16.2">
      <c r="C147" s="339"/>
      <c r="D147" s="45"/>
      <c r="E147" s="45"/>
      <c r="F147" s="45"/>
    </row>
    <row r="148" spans="3:6" ht="16.2">
      <c r="C148" s="339"/>
      <c r="D148" s="45"/>
      <c r="E148" s="45"/>
      <c r="F148" s="45"/>
    </row>
    <row r="149" spans="3:6" ht="16.2">
      <c r="C149" s="339"/>
      <c r="D149" s="45"/>
      <c r="E149" s="45"/>
      <c r="F149" s="45"/>
    </row>
    <row r="150" spans="3:6" ht="16.2">
      <c r="C150" s="339"/>
      <c r="D150" s="45"/>
      <c r="E150" s="45"/>
      <c r="F150" s="45"/>
    </row>
    <row r="151" spans="3:6" ht="16.2">
      <c r="C151" s="339"/>
      <c r="D151" s="45"/>
      <c r="E151" s="45"/>
      <c r="F151" s="45"/>
    </row>
    <row r="152" spans="3:6" ht="16.2">
      <c r="C152" s="339"/>
      <c r="D152" s="45"/>
      <c r="E152" s="45"/>
      <c r="F152" s="45"/>
    </row>
    <row r="153" spans="3:6" ht="16.2">
      <c r="C153" s="339"/>
      <c r="D153" s="45"/>
      <c r="E153" s="45"/>
      <c r="F153" s="45"/>
    </row>
    <row r="154" spans="3:6" ht="16.2">
      <c r="C154" s="339"/>
      <c r="D154" s="45"/>
      <c r="E154" s="45"/>
      <c r="F154" s="45"/>
    </row>
    <row r="155" spans="3:6" ht="16.2">
      <c r="C155" s="339"/>
      <c r="D155" s="45"/>
      <c r="E155" s="45"/>
      <c r="F155" s="45"/>
    </row>
    <row r="156" spans="3:6" ht="16.2">
      <c r="C156" s="339"/>
      <c r="D156" s="45"/>
      <c r="E156" s="45"/>
      <c r="F156" s="45"/>
    </row>
    <row r="157" spans="3:6" ht="16.2">
      <c r="C157" s="339"/>
      <c r="D157" s="45"/>
      <c r="E157" s="45"/>
      <c r="F157" s="45"/>
    </row>
    <row r="158" spans="3:6" ht="16.2">
      <c r="C158" s="339"/>
      <c r="D158" s="45"/>
      <c r="E158" s="45"/>
      <c r="F158" s="45"/>
    </row>
    <row r="159" spans="3:6" ht="16.2">
      <c r="C159" s="339"/>
      <c r="D159" s="45"/>
      <c r="E159" s="45"/>
      <c r="F159" s="45"/>
    </row>
    <row r="160" spans="3:6" ht="16.2">
      <c r="C160" s="339"/>
      <c r="D160" s="45"/>
      <c r="E160" s="45"/>
      <c r="F160" s="45"/>
    </row>
    <row r="161" spans="3:6" ht="16.2">
      <c r="C161" s="339"/>
      <c r="D161" s="45"/>
      <c r="E161" s="45"/>
      <c r="F161" s="45"/>
    </row>
    <row r="162" spans="3:6" ht="16.2">
      <c r="C162" s="339"/>
      <c r="D162" s="45"/>
      <c r="E162" s="45"/>
      <c r="F162" s="45"/>
    </row>
    <row r="163" spans="3:6" ht="16.2">
      <c r="C163" s="339"/>
      <c r="D163" s="45"/>
      <c r="E163" s="45"/>
      <c r="F163" s="45"/>
    </row>
    <row r="164" spans="3:6" ht="16.2">
      <c r="C164" s="339"/>
      <c r="D164" s="45"/>
      <c r="E164" s="45"/>
      <c r="F164" s="45"/>
    </row>
    <row r="165" spans="3:6" ht="16.2">
      <c r="C165" s="339"/>
      <c r="D165" s="45"/>
      <c r="E165" s="45"/>
      <c r="F165" s="45"/>
    </row>
    <row r="166" spans="3:6" ht="16.2">
      <c r="C166" s="339"/>
      <c r="D166" s="45"/>
      <c r="E166" s="45"/>
      <c r="F166" s="45"/>
    </row>
    <row r="167" spans="3:6" ht="16.2">
      <c r="C167" s="339"/>
      <c r="D167" s="45"/>
      <c r="E167" s="45"/>
      <c r="F167" s="45"/>
    </row>
    <row r="168" spans="3:6" ht="16.2">
      <c r="C168" s="339"/>
      <c r="D168" s="45"/>
      <c r="E168" s="45"/>
      <c r="F168" s="45"/>
    </row>
    <row r="169" spans="3:6" ht="16.2">
      <c r="C169" s="339"/>
      <c r="D169" s="45"/>
      <c r="E169" s="45"/>
      <c r="F169" s="45"/>
    </row>
    <row r="170" spans="3:6" ht="16.2">
      <c r="C170" s="339"/>
      <c r="D170" s="45"/>
      <c r="E170" s="45"/>
      <c r="F170" s="45"/>
    </row>
    <row r="171" spans="3:6" ht="16.2">
      <c r="C171" s="339"/>
      <c r="D171" s="45"/>
      <c r="E171" s="45"/>
      <c r="F171" s="45"/>
    </row>
    <row r="172" spans="3:6" ht="16.2">
      <c r="C172" s="339"/>
      <c r="D172" s="45"/>
      <c r="E172" s="45"/>
      <c r="F172" s="45"/>
    </row>
    <row r="173" spans="3:6" ht="16.2">
      <c r="C173" s="339"/>
      <c r="D173" s="45"/>
      <c r="E173" s="45"/>
      <c r="F173" s="45"/>
    </row>
    <row r="174" spans="3:6" ht="16.2">
      <c r="C174" s="339"/>
      <c r="D174" s="45"/>
      <c r="E174" s="45"/>
      <c r="F174" s="45"/>
    </row>
    <row r="175" spans="3:6" ht="16.2">
      <c r="C175" s="339"/>
      <c r="D175" s="45"/>
      <c r="E175" s="45"/>
      <c r="F175" s="45"/>
    </row>
    <row r="176" spans="3:6" ht="16.2">
      <c r="C176" s="339"/>
      <c r="D176" s="45"/>
      <c r="E176" s="45"/>
      <c r="F176" s="45"/>
    </row>
    <row r="177" spans="3:11" ht="16.2">
      <c r="C177" s="339"/>
      <c r="D177" s="45"/>
      <c r="E177" s="45"/>
      <c r="F177" s="45"/>
    </row>
    <row r="178" spans="3:11" ht="16.2">
      <c r="C178" s="339"/>
      <c r="D178" s="45"/>
      <c r="E178" s="45"/>
      <c r="F178" s="45"/>
    </row>
    <row r="179" spans="3:11" ht="16.2">
      <c r="C179" s="339"/>
      <c r="D179" s="45"/>
      <c r="E179" s="45"/>
      <c r="F179" s="45"/>
    </row>
    <row r="180" spans="3:11" ht="16.2">
      <c r="C180" s="339"/>
      <c r="D180" s="45"/>
      <c r="E180" s="45"/>
      <c r="F180" s="45"/>
    </row>
    <row r="181" spans="3:11" ht="16.2">
      <c r="C181" s="339"/>
      <c r="D181" s="45"/>
      <c r="E181" s="45"/>
      <c r="F181" s="45"/>
    </row>
    <row r="182" spans="3:11" ht="16.2">
      <c r="C182" s="339"/>
      <c r="D182" s="45"/>
      <c r="E182" s="45"/>
      <c r="F182" s="45"/>
    </row>
    <row r="183" spans="3:11" ht="16.2">
      <c r="C183" s="339"/>
      <c r="D183" s="45"/>
      <c r="E183" s="45"/>
      <c r="F183" s="45"/>
    </row>
    <row r="184" spans="3:11" ht="16.2">
      <c r="C184" s="339"/>
      <c r="D184" s="45"/>
      <c r="E184" s="45"/>
      <c r="F184" s="45"/>
    </row>
    <row r="185" spans="3:11" ht="16.2">
      <c r="C185" s="339"/>
      <c r="D185" s="45"/>
      <c r="E185" s="45"/>
      <c r="F185" s="45"/>
    </row>
    <row r="186" spans="3:11" ht="16.2">
      <c r="C186" s="339"/>
      <c r="D186" s="45"/>
      <c r="E186" s="45"/>
      <c r="F186" s="45"/>
      <c r="J186" s="28"/>
    </row>
    <row r="187" spans="3:11" ht="16.2">
      <c r="C187" s="339"/>
      <c r="D187" s="45"/>
      <c r="E187" s="45"/>
      <c r="F187" s="45"/>
    </row>
    <row r="188" spans="3:11" ht="16.2">
      <c r="C188" s="339"/>
      <c r="D188" s="45"/>
      <c r="E188" s="45"/>
      <c r="F188" s="45"/>
      <c r="K188" s="28"/>
    </row>
    <row r="189" spans="3:11" ht="16.2">
      <c r="C189" s="339"/>
      <c r="D189" s="45"/>
      <c r="E189" s="45"/>
      <c r="F189" s="45"/>
    </row>
    <row r="190" spans="3:11" ht="16.2">
      <c r="C190" s="339"/>
      <c r="D190" s="45"/>
      <c r="E190" s="45"/>
      <c r="F190" s="45"/>
    </row>
    <row r="191" spans="3:11" ht="16.2">
      <c r="C191" s="339"/>
      <c r="D191" s="45"/>
      <c r="E191" s="45"/>
      <c r="F191" s="45"/>
    </row>
    <row r="192" spans="3:11" ht="16.2">
      <c r="C192" s="339"/>
      <c r="D192" s="45"/>
      <c r="E192" s="45"/>
      <c r="F192" s="45"/>
      <c r="J192" s="28"/>
    </row>
    <row r="193" spans="3:14" ht="16.2">
      <c r="C193" s="339"/>
      <c r="D193" s="45"/>
      <c r="E193" s="45"/>
      <c r="F193" s="45"/>
    </row>
    <row r="194" spans="3:14" ht="16.2">
      <c r="C194" s="339"/>
      <c r="D194" s="45"/>
      <c r="E194" s="45"/>
      <c r="F194" s="45"/>
      <c r="K194" s="28"/>
    </row>
    <row r="195" spans="3:14" ht="16.2">
      <c r="C195" s="339"/>
      <c r="D195" s="45"/>
      <c r="E195" s="45"/>
      <c r="F195" s="45"/>
      <c r="K195" s="87"/>
    </row>
    <row r="196" spans="3:14" ht="16.2">
      <c r="C196" s="339"/>
      <c r="D196" s="45"/>
      <c r="E196" s="45"/>
      <c r="F196" s="45"/>
    </row>
    <row r="198" spans="3:14" ht="16.2">
      <c r="M198" s="342"/>
      <c r="N198" s="342"/>
    </row>
    <row r="199" spans="3:14" ht="16.2">
      <c r="L199" s="87"/>
      <c r="M199" s="342"/>
      <c r="N199" s="342"/>
    </row>
    <row r="200" spans="3:14" ht="16.2">
      <c r="L200" s="87"/>
      <c r="M200" s="47"/>
      <c r="N200" s="47"/>
    </row>
    <row r="201" spans="3:14" ht="16.2">
      <c r="L201" s="87"/>
      <c r="M201" s="47"/>
      <c r="N201" s="47"/>
    </row>
    <row r="202" spans="3:14" ht="16.2">
      <c r="L202" s="87"/>
      <c r="M202" s="47"/>
      <c r="N202" s="47"/>
    </row>
    <row r="203" spans="3:14" ht="16.2">
      <c r="L203" s="87"/>
      <c r="M203" s="47"/>
      <c r="N203" s="47"/>
    </row>
    <row r="204" spans="3:14">
      <c r="L204" s="87"/>
    </row>
    <row r="205" spans="3:14">
      <c r="L205" s="87"/>
    </row>
    <row r="206" spans="3:14">
      <c r="L206" s="87"/>
    </row>
    <row r="207" spans="3:14">
      <c r="L207" s="87"/>
    </row>
  </sheetData>
  <pageMargins left="0.70866141732283472" right="0.70866141732283472" top="0.74803149606299213" bottom="1.1023622047244095" header="0.31496062992125984" footer="0.31496062992125984"/>
  <pageSetup scale="52" firstPageNumber="4" fitToHeight="2" orientation="portrait" useFirstPageNumber="1" r:id="rId1"/>
  <rowBreaks count="1" manualBreakCount="1">
    <brk id="58" max="5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  <pageSetUpPr fitToPage="1"/>
  </sheetPr>
  <dimension ref="B6:I164"/>
  <sheetViews>
    <sheetView view="pageBreakPreview" topLeftCell="A11" zoomScale="80" zoomScaleNormal="80" zoomScaleSheetLayoutView="80" workbookViewId="0">
      <selection activeCell="F18" sqref="F18"/>
    </sheetView>
  </sheetViews>
  <sheetFormatPr baseColWidth="10" defaultColWidth="11.5546875" defaultRowHeight="15.6"/>
  <cols>
    <col min="1" max="1" width="5.109375" style="1" customWidth="1"/>
    <col min="2" max="2" width="35.109375" style="1" customWidth="1"/>
    <col min="3" max="3" width="10.6640625" style="1" customWidth="1"/>
    <col min="4" max="4" width="19.6640625" style="1" bestFit="1" customWidth="1"/>
    <col min="5" max="5" width="20.109375" style="1" bestFit="1" customWidth="1"/>
    <col min="6" max="6" width="28.44140625" style="1" bestFit="1" customWidth="1"/>
    <col min="7" max="7" width="20.109375" style="1" bestFit="1" customWidth="1"/>
    <col min="8" max="8" width="29" style="1" bestFit="1" customWidth="1"/>
    <col min="9" max="9" width="18.109375" style="1" customWidth="1"/>
    <col min="10" max="16384" width="11.5546875" style="1"/>
  </cols>
  <sheetData>
    <row r="6" spans="2:9" s="7" customFormat="1" ht="24.75" customHeight="1">
      <c r="B6" s="46" t="str">
        <f>+'A-SITUACION ANEXOS'!B6</f>
        <v xml:space="preserve">ANEXOS DE ESTADO DE SITUACIÓN </v>
      </c>
      <c r="F6" s="1"/>
      <c r="G6" s="1"/>
      <c r="H6" s="1"/>
    </row>
    <row r="7" spans="2:9" s="7" customFormat="1" ht="24.75" customHeight="1">
      <c r="B7" s="46" t="s">
        <v>3</v>
      </c>
      <c r="F7" s="1"/>
      <c r="G7" s="1"/>
      <c r="H7" s="1"/>
    </row>
    <row r="8" spans="2:9" s="7" customFormat="1" ht="24.75" customHeight="1">
      <c r="B8" s="46" t="str">
        <f>+'A-SITUACION ANEXOS'!B8</f>
        <v>VALORES EXPRESADOS EN RD$</v>
      </c>
      <c r="F8" s="1"/>
      <c r="G8" s="1"/>
      <c r="H8" s="1"/>
    </row>
    <row r="9" spans="2:9" s="7" customFormat="1" ht="24.75" customHeight="1">
      <c r="F9" s="1"/>
      <c r="G9" s="1"/>
      <c r="H9" s="1"/>
    </row>
    <row r="10" spans="2:9" s="7" customFormat="1" ht="24.75" customHeight="1">
      <c r="C10" s="13" t="s">
        <v>266</v>
      </c>
      <c r="D10" s="4">
        <v>14</v>
      </c>
      <c r="F10" s="1"/>
      <c r="G10" s="1"/>
      <c r="H10" s="1"/>
    </row>
    <row r="11" spans="2:9" s="7" customFormat="1" ht="24.75" customHeight="1">
      <c r="E11" s="34"/>
      <c r="F11" s="1"/>
      <c r="G11" s="1"/>
      <c r="H11" s="18"/>
    </row>
    <row r="12" spans="2:9" s="7" customFormat="1" ht="24.75" customHeight="1">
      <c r="B12" s="46" t="s">
        <v>267</v>
      </c>
    </row>
    <row r="13" spans="2:9" s="7" customFormat="1" ht="24.75" customHeight="1" thickBot="1">
      <c r="B13" s="46"/>
    </row>
    <row r="14" spans="2:9" s="7" customFormat="1" ht="24.75" customHeight="1" thickBot="1">
      <c r="D14" s="331" t="s">
        <v>268</v>
      </c>
      <c r="E14" s="558" t="s">
        <v>269</v>
      </c>
      <c r="F14" s="559"/>
      <c r="G14" s="558" t="s">
        <v>270</v>
      </c>
      <c r="H14" s="559"/>
    </row>
    <row r="15" spans="2:9" ht="24.75" customHeight="1">
      <c r="D15" s="332" t="s">
        <v>271</v>
      </c>
      <c r="E15" s="335" t="s">
        <v>272</v>
      </c>
      <c r="F15" s="326" t="s">
        <v>273</v>
      </c>
      <c r="G15" s="330" t="s">
        <v>272</v>
      </c>
      <c r="H15" s="326" t="s">
        <v>273</v>
      </c>
    </row>
    <row r="16" spans="2:9" ht="24.75" customHeight="1">
      <c r="B16" s="57" t="s">
        <v>274</v>
      </c>
      <c r="D16" s="332" t="s">
        <v>275</v>
      </c>
      <c r="E16" s="332" t="s">
        <v>276</v>
      </c>
      <c r="F16" s="326" t="s">
        <v>277</v>
      </c>
      <c r="G16" s="47" t="s">
        <v>276</v>
      </c>
      <c r="H16" s="326" t="s">
        <v>277</v>
      </c>
      <c r="I16" s="20"/>
    </row>
    <row r="17" spans="2:8" ht="24.75" customHeight="1">
      <c r="D17" s="231"/>
      <c r="E17" s="231"/>
      <c r="F17" s="336"/>
      <c r="H17" s="327"/>
    </row>
    <row r="18" spans="2:8" ht="24.75" customHeight="1">
      <c r="B18" s="1" t="s">
        <v>116</v>
      </c>
      <c r="D18" s="333">
        <v>99.500102455000004</v>
      </c>
      <c r="E18" s="337">
        <f>F18/100</f>
        <v>6953497</v>
      </c>
      <c r="F18" s="327">
        <v>695349700</v>
      </c>
      <c r="G18" s="58">
        <v>6953497</v>
      </c>
      <c r="H18" s="327">
        <v>695349700</v>
      </c>
    </row>
    <row r="19" spans="2:8" ht="24.75" customHeight="1">
      <c r="B19" s="1" t="s">
        <v>278</v>
      </c>
      <c r="D19" s="333">
        <v>49.9739570395</v>
      </c>
      <c r="E19" s="337">
        <f>F19/100</f>
        <v>28163101</v>
      </c>
      <c r="F19" s="336">
        <v>2816310100</v>
      </c>
      <c r="G19" s="58">
        <v>28163101</v>
      </c>
      <c r="H19" s="327">
        <v>2816310100</v>
      </c>
    </row>
    <row r="20" spans="2:8" ht="24.75" customHeight="1">
      <c r="B20" s="1" t="s">
        <v>279</v>
      </c>
      <c r="D20" s="333">
        <v>49.590354330700002</v>
      </c>
      <c r="E20" s="337">
        <f>F20/100</f>
        <v>2519190</v>
      </c>
      <c r="F20" s="336">
        <f>251919000+0</f>
        <v>251919000</v>
      </c>
      <c r="G20" s="58">
        <v>2519190</v>
      </c>
      <c r="H20" s="327">
        <v>251919000</v>
      </c>
    </row>
    <row r="21" spans="2:8" ht="24.75" customHeight="1">
      <c r="B21" s="1" t="s">
        <v>280</v>
      </c>
      <c r="D21" s="333">
        <v>49.993471306399996</v>
      </c>
      <c r="E21" s="337">
        <f>2297250000/100</f>
        <v>22972500</v>
      </c>
      <c r="F21" s="336">
        <v>2297250000</v>
      </c>
      <c r="G21" s="58">
        <v>22972500</v>
      </c>
      <c r="H21" s="336">
        <v>2297250000</v>
      </c>
    </row>
    <row r="22" spans="2:8" ht="24.75" customHeight="1">
      <c r="B22" s="1" t="s">
        <v>117</v>
      </c>
      <c r="D22" s="333">
        <v>99.979305835000005</v>
      </c>
      <c r="E22" s="337">
        <f>F22/100</f>
        <v>32403395</v>
      </c>
      <c r="F22" s="336">
        <v>3240339500</v>
      </c>
      <c r="G22" s="58">
        <v>32403395</v>
      </c>
      <c r="H22" s="327">
        <v>3240339500</v>
      </c>
    </row>
    <row r="23" spans="2:8" ht="24.75" customHeight="1">
      <c r="B23" s="1" t="s">
        <v>281</v>
      </c>
      <c r="D23" s="333">
        <v>99.960759730299998</v>
      </c>
      <c r="E23" s="337">
        <f>F23/100</f>
        <v>34750978</v>
      </c>
      <c r="F23" s="336">
        <v>3475097800</v>
      </c>
      <c r="G23" s="58">
        <v>34750978</v>
      </c>
      <c r="H23" s="327">
        <v>3475097800</v>
      </c>
    </row>
    <row r="24" spans="2:8" ht="24.75" customHeight="1">
      <c r="B24" s="1" t="s">
        <v>118</v>
      </c>
      <c r="D24" s="333">
        <v>99.9381695318</v>
      </c>
      <c r="E24" s="337">
        <f>F24/100</f>
        <v>34628160</v>
      </c>
      <c r="F24" s="336">
        <v>3462816000</v>
      </c>
      <c r="G24" s="58">
        <v>34628160</v>
      </c>
      <c r="H24" s="327">
        <v>3462816000</v>
      </c>
    </row>
    <row r="25" spans="2:8" ht="34.799999999999997" thickBot="1">
      <c r="B25" s="56" t="s">
        <v>282</v>
      </c>
      <c r="D25" s="334"/>
      <c r="E25" s="334"/>
      <c r="F25" s="329">
        <f>SUM(F18:F24)</f>
        <v>16239082100</v>
      </c>
      <c r="G25" s="328"/>
      <c r="H25" s="329">
        <f>SUM(H18:H24)</f>
        <v>16239082100</v>
      </c>
    </row>
    <row r="26" spans="2:8" ht="24.75" customHeight="1"/>
    <row r="27" spans="2:8" ht="24.75" customHeight="1">
      <c r="F27" s="18"/>
    </row>
    <row r="29" spans="2:8">
      <c r="F29" s="18"/>
    </row>
    <row r="157" spans="9:9">
      <c r="I157" s="62"/>
    </row>
    <row r="158" spans="9:9">
      <c r="I158" s="62"/>
    </row>
    <row r="159" spans="9:9">
      <c r="I159" s="62"/>
    </row>
    <row r="160" spans="9:9">
      <c r="I160" s="62"/>
    </row>
    <row r="161" spans="9:9">
      <c r="I161" s="62"/>
    </row>
    <row r="162" spans="9:9">
      <c r="I162" s="62"/>
    </row>
    <row r="163" spans="9:9">
      <c r="I163" s="62"/>
    </row>
    <row r="164" spans="9:9">
      <c r="I164" s="62"/>
    </row>
  </sheetData>
  <mergeCells count="2">
    <mergeCell ref="E14:F14"/>
    <mergeCell ref="G14:H14"/>
  </mergeCells>
  <pageMargins left="0.70866141732283472" right="0.70866141732283472" top="0.74803149606299213" bottom="0.74803149606299213" header="0.31496062992125984" footer="0.31496062992125984"/>
  <pageSetup scale="54" firstPageNumber="3" fitToHeight="10" orientation="portrait" useFirstPageNumber="1" r:id="rId1"/>
  <ignoredErrors>
    <ignoredError sqref="E21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3:H34"/>
  <sheetViews>
    <sheetView topLeftCell="B1" zoomScale="90" zoomScaleNormal="90" workbookViewId="0">
      <selection activeCell="L17" sqref="L17"/>
    </sheetView>
  </sheetViews>
  <sheetFormatPr baseColWidth="10" defaultColWidth="11.5546875" defaultRowHeight="24.75" customHeight="1"/>
  <cols>
    <col min="1" max="1" width="7.5546875" style="1" customWidth="1"/>
    <col min="2" max="2" width="43.33203125" style="1" customWidth="1"/>
    <col min="3" max="4" width="21.88671875" style="1" customWidth="1"/>
    <col min="5" max="5" width="16" style="2" bestFit="1" customWidth="1"/>
    <col min="6" max="6" width="4.88671875" style="1" customWidth="1"/>
    <col min="7" max="7" width="20.88671875" style="1" customWidth="1"/>
    <col min="8" max="8" width="36.33203125" style="1" customWidth="1"/>
    <col min="9" max="9" width="8.44140625" style="1" bestFit="1" customWidth="1"/>
    <col min="10" max="10" width="12.88671875" style="1" customWidth="1"/>
    <col min="11" max="11" width="16.5546875" style="1" bestFit="1" customWidth="1"/>
    <col min="12" max="16384" width="11.5546875" style="1"/>
  </cols>
  <sheetData>
    <row r="3" spans="2:8" ht="24.75" customHeight="1">
      <c r="B3" s="551" t="s">
        <v>283</v>
      </c>
      <c r="C3" s="551"/>
      <c r="D3" s="551"/>
      <c r="E3" s="66"/>
    </row>
    <row r="4" spans="2:8" ht="24.75" customHeight="1">
      <c r="B4" s="551" t="s">
        <v>284</v>
      </c>
      <c r="C4" s="551"/>
      <c r="D4" s="551"/>
      <c r="E4" s="66"/>
    </row>
    <row r="5" spans="2:8" ht="24.75" customHeight="1">
      <c r="B5" s="551" t="s">
        <v>285</v>
      </c>
      <c r="C5" s="551"/>
      <c r="D5" s="551"/>
      <c r="E5" s="66"/>
    </row>
    <row r="6" spans="2:8" ht="24.75" customHeight="1">
      <c r="B6" s="563">
        <v>45688</v>
      </c>
      <c r="C6" s="563"/>
      <c r="D6" s="563"/>
      <c r="E6" s="66"/>
    </row>
    <row r="7" spans="2:8" ht="24.75" customHeight="1" thickBot="1">
      <c r="B7" s="68"/>
      <c r="C7" s="68"/>
      <c r="D7" s="68"/>
      <c r="E7" s="69"/>
    </row>
    <row r="8" spans="2:8" ht="24.75" customHeight="1" thickBot="1">
      <c r="B8" s="70" t="s">
        <v>268</v>
      </c>
      <c r="C8" s="71" t="s">
        <v>286</v>
      </c>
      <c r="D8" s="72" t="s">
        <v>287</v>
      </c>
    </row>
    <row r="9" spans="2:8" ht="15.75" hidden="1" customHeight="1">
      <c r="B9" s="73" t="s">
        <v>288</v>
      </c>
      <c r="C9" s="60"/>
      <c r="D9" s="74">
        <v>0</v>
      </c>
    </row>
    <row r="10" spans="2:8" ht="24.75" customHeight="1">
      <c r="B10" s="73" t="s">
        <v>289</v>
      </c>
      <c r="C10" s="60"/>
      <c r="D10" s="440">
        <v>200000</v>
      </c>
    </row>
    <row r="11" spans="2:8" ht="24.75" customHeight="1">
      <c r="B11" s="75" t="s">
        <v>290</v>
      </c>
      <c r="C11" s="76"/>
      <c r="D11" s="441">
        <v>490027440.88999999</v>
      </c>
      <c r="G11" s="540"/>
      <c r="H11" s="439"/>
    </row>
    <row r="12" spans="2:8" ht="24.75" customHeight="1">
      <c r="B12" s="75" t="s">
        <v>291</v>
      </c>
      <c r="C12" s="76"/>
      <c r="D12" s="441">
        <v>47381.33</v>
      </c>
    </row>
    <row r="13" spans="2:8" ht="24.75" customHeight="1">
      <c r="B13" s="75" t="s">
        <v>292</v>
      </c>
      <c r="C13" s="78">
        <v>59.65</v>
      </c>
      <c r="D13" s="441">
        <v>18143.84</v>
      </c>
      <c r="G13" s="18"/>
    </row>
    <row r="14" spans="2:8" ht="24.75" customHeight="1">
      <c r="B14" s="75" t="s">
        <v>293</v>
      </c>
      <c r="C14" s="76"/>
      <c r="D14" s="442">
        <f>18143.84*58.65</f>
        <v>1064136.216</v>
      </c>
      <c r="G14" s="18"/>
    </row>
    <row r="15" spans="2:8" ht="24.75" customHeight="1">
      <c r="B15" s="80" t="s">
        <v>273</v>
      </c>
      <c r="C15" s="81"/>
      <c r="D15" s="161">
        <f>SUM(D9:D14)</f>
        <v>491357102.27599996</v>
      </c>
      <c r="G15" s="2"/>
    </row>
    <row r="16" spans="2:8" ht="24.75" customHeight="1" thickBot="1">
      <c r="B16" s="83"/>
      <c r="C16" s="84"/>
      <c r="D16" s="434"/>
    </row>
    <row r="17" spans="3:5" ht="24.75" customHeight="1">
      <c r="D17" s="425"/>
    </row>
    <row r="18" spans="3:5" ht="24.75" hidden="1" customHeight="1">
      <c r="D18" s="426"/>
    </row>
    <row r="19" spans="3:5" ht="24.75" hidden="1" customHeight="1">
      <c r="C19" s="560" t="s">
        <v>294</v>
      </c>
      <c r="D19" s="425">
        <f>+D13</f>
        <v>18143.84</v>
      </c>
    </row>
    <row r="20" spans="3:5" ht="24.75" hidden="1" customHeight="1">
      <c r="C20" s="561"/>
      <c r="D20" s="300" t="s">
        <v>295</v>
      </c>
    </row>
    <row r="21" spans="3:5" ht="24.75" hidden="1" customHeight="1">
      <c r="C21" s="562"/>
      <c r="D21" s="411">
        <f>+D19*57.5</f>
        <v>1043270.8</v>
      </c>
    </row>
    <row r="22" spans="3:5" ht="24.75" hidden="1" customHeight="1">
      <c r="D22" s="427"/>
    </row>
    <row r="23" spans="3:5" ht="24.75" hidden="1" customHeight="1">
      <c r="C23" s="560" t="s">
        <v>296</v>
      </c>
      <c r="D23" s="413">
        <v>14152.03</v>
      </c>
    </row>
    <row r="24" spans="3:5" ht="24.75" hidden="1" customHeight="1">
      <c r="C24" s="561"/>
      <c r="D24" s="428">
        <v>798174.51</v>
      </c>
    </row>
    <row r="25" spans="3:5" ht="24.75" hidden="1" customHeight="1">
      <c r="C25" s="562"/>
      <c r="D25" s="425">
        <f>SUM(D23:D24)</f>
        <v>812326.54</v>
      </c>
    </row>
    <row r="26" spans="3:5" ht="24.75" hidden="1" customHeight="1">
      <c r="D26" s="427"/>
    </row>
    <row r="27" spans="3:5" ht="24.75" hidden="1" customHeight="1">
      <c r="C27" s="560" t="s">
        <v>297</v>
      </c>
      <c r="D27" s="425">
        <f>+D21</f>
        <v>1043270.8</v>
      </c>
    </row>
    <row r="28" spans="3:5" ht="24.75" hidden="1" customHeight="1">
      <c r="C28" s="561"/>
      <c r="D28" s="425">
        <f>-D25</f>
        <v>-812326.54</v>
      </c>
    </row>
    <row r="29" spans="3:5" ht="24.75" hidden="1" customHeight="1" thickBot="1">
      <c r="C29" s="562"/>
      <c r="D29" s="429">
        <f>SUM(D27:D28)</f>
        <v>230944.26</v>
      </c>
    </row>
    <row r="30" spans="3:5" ht="24.75" hidden="1" customHeight="1" thickTop="1">
      <c r="D30" s="427"/>
      <c r="E30" s="49"/>
    </row>
    <row r="31" spans="3:5" ht="24.75" customHeight="1">
      <c r="D31" s="425"/>
    </row>
    <row r="32" spans="3:5" ht="24.75" customHeight="1">
      <c r="D32" s="411"/>
    </row>
    <row r="33" spans="4:4" ht="24.75" customHeight="1">
      <c r="D33" s="18"/>
    </row>
    <row r="34" spans="4:4" ht="24.75" customHeight="1">
      <c r="D34" s="18"/>
    </row>
  </sheetData>
  <mergeCells count="7">
    <mergeCell ref="C23:C25"/>
    <mergeCell ref="C27:C29"/>
    <mergeCell ref="B3:D3"/>
    <mergeCell ref="B4:D4"/>
    <mergeCell ref="B5:D5"/>
    <mergeCell ref="B6:D6"/>
    <mergeCell ref="C19:C21"/>
  </mergeCells>
  <pageMargins left="0.59055118110236227" right="0.70866141732283472" top="0.74803149606299213" bottom="0.74803149606299213" header="0.31496062992125984" footer="0.31496062992125984"/>
  <pageSetup scale="8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J212"/>
  <sheetViews>
    <sheetView zoomScale="90" zoomScaleNormal="90" zoomScaleSheetLayoutView="90" workbookViewId="0">
      <selection activeCell="L17" sqref="L17"/>
    </sheetView>
  </sheetViews>
  <sheetFormatPr baseColWidth="10" defaultColWidth="11.5546875" defaultRowHeight="24.75" customHeight="1"/>
  <cols>
    <col min="1" max="1" width="5.5546875" style="1" customWidth="1"/>
    <col min="2" max="2" width="37.109375" style="1" customWidth="1"/>
    <col min="3" max="3" width="20.6640625" style="1" hidden="1" customWidth="1"/>
    <col min="4" max="4" width="19.5546875" style="1" hidden="1" customWidth="1"/>
    <col min="5" max="5" width="25" style="1" bestFit="1" customWidth="1"/>
    <col min="6" max="6" width="7.109375" style="1" customWidth="1"/>
    <col min="7" max="7" width="6.5546875" style="1" customWidth="1"/>
    <col min="8" max="8" width="20.5546875" style="1" bestFit="1" customWidth="1"/>
    <col min="9" max="9" width="8.44140625" style="1" bestFit="1" customWidth="1"/>
    <col min="10" max="10" width="20.5546875" style="1" bestFit="1" customWidth="1"/>
    <col min="11" max="11" width="16.5546875" style="1" bestFit="1" customWidth="1"/>
    <col min="12" max="16384" width="11.5546875" style="1"/>
  </cols>
  <sheetData>
    <row r="2" spans="2:10" ht="24.75" customHeight="1">
      <c r="E2" s="87"/>
    </row>
    <row r="3" spans="2:10" ht="24.75" customHeight="1">
      <c r="B3" s="551" t="s">
        <v>298</v>
      </c>
      <c r="C3" s="551"/>
      <c r="D3" s="551"/>
      <c r="E3" s="551"/>
    </row>
    <row r="4" spans="2:10" ht="24.75" customHeight="1">
      <c r="B4" s="551" t="s">
        <v>284</v>
      </c>
      <c r="C4" s="551"/>
      <c r="D4" s="551"/>
      <c r="E4" s="551"/>
    </row>
    <row r="5" spans="2:10" ht="24.75" customHeight="1">
      <c r="B5" s="551" t="s">
        <v>299</v>
      </c>
      <c r="C5" s="551"/>
      <c r="D5" s="551"/>
      <c r="E5" s="551"/>
    </row>
    <row r="6" spans="2:10" ht="24.75" customHeight="1">
      <c r="B6" s="563">
        <v>45688</v>
      </c>
      <c r="C6" s="563"/>
      <c r="D6" s="563"/>
      <c r="E6" s="563"/>
    </row>
    <row r="7" spans="2:10" ht="24.75" customHeight="1" thickBot="1">
      <c r="B7" s="68"/>
      <c r="C7" s="68"/>
      <c r="D7" s="68"/>
      <c r="E7" s="47"/>
    </row>
    <row r="8" spans="2:10" ht="24.75" customHeight="1" thickBot="1">
      <c r="B8" s="70" t="s">
        <v>268</v>
      </c>
      <c r="C8" s="71" t="s">
        <v>300</v>
      </c>
      <c r="D8" s="71" t="s">
        <v>286</v>
      </c>
      <c r="E8" s="72" t="s">
        <v>287</v>
      </c>
    </row>
    <row r="9" spans="2:10" ht="24.75" hidden="1" customHeight="1">
      <c r="B9" s="88" t="s">
        <v>301</v>
      </c>
      <c r="C9" s="89">
        <v>0</v>
      </c>
      <c r="D9" s="89">
        <v>0</v>
      </c>
      <c r="E9" s="430"/>
      <c r="G9" s="18"/>
    </row>
    <row r="10" spans="2:10" ht="24.75" customHeight="1">
      <c r="B10" s="88" t="s">
        <v>302</v>
      </c>
      <c r="C10" s="89"/>
      <c r="D10" s="89"/>
      <c r="E10" s="430">
        <v>564629533.22000003</v>
      </c>
      <c r="G10" s="18"/>
    </row>
    <row r="11" spans="2:10" ht="24.75" customHeight="1">
      <c r="B11" s="88" t="s">
        <v>303</v>
      </c>
      <c r="C11" s="89"/>
      <c r="D11" s="89"/>
      <c r="E11" s="430">
        <v>529841105.18000001</v>
      </c>
      <c r="G11" s="18"/>
    </row>
    <row r="12" spans="2:10" ht="24.75" customHeight="1">
      <c r="B12" s="88" t="s">
        <v>304</v>
      </c>
      <c r="C12" s="89"/>
      <c r="D12" s="89"/>
      <c r="E12" s="431">
        <v>600000000</v>
      </c>
      <c r="G12" s="18"/>
    </row>
    <row r="13" spans="2:10" ht="25.5" customHeight="1">
      <c r="B13" s="80" t="s">
        <v>305</v>
      </c>
      <c r="C13" s="90" t="e">
        <f>SUM(#REF!)</f>
        <v>#REF!</v>
      </c>
      <c r="D13" s="91"/>
      <c r="E13" s="432">
        <f>SUM(E10:E12)</f>
        <v>1694470638.4000001</v>
      </c>
      <c r="G13" s="92"/>
    </row>
    <row r="14" spans="2:10" ht="3.75" customHeight="1" thickBot="1">
      <c r="B14" s="93"/>
      <c r="C14" s="94"/>
      <c r="D14" s="94"/>
      <c r="E14" s="433"/>
      <c r="G14" s="2"/>
    </row>
    <row r="15" spans="2:10" ht="24.75" customHeight="1">
      <c r="B15" s="15"/>
      <c r="C15" s="95"/>
      <c r="D15" s="95"/>
      <c r="G15" s="2"/>
      <c r="H15" s="18"/>
      <c r="J15" s="18"/>
    </row>
    <row r="16" spans="2:10" ht="24.75" customHeight="1">
      <c r="G16" s="18"/>
      <c r="H16" s="18"/>
      <c r="J16" s="18"/>
    </row>
    <row r="17" spans="3:8" ht="24.75" customHeight="1">
      <c r="G17" s="18"/>
      <c r="H17" s="18"/>
    </row>
    <row r="18" spans="3:8" ht="24.75" customHeight="1">
      <c r="C18" s="2"/>
      <c r="D18" s="96"/>
      <c r="E18" s="343"/>
      <c r="G18" s="18"/>
      <c r="H18" s="18"/>
    </row>
    <row r="19" spans="3:8" ht="24.75" hidden="1" customHeight="1">
      <c r="C19" s="2"/>
      <c r="D19" s="97"/>
      <c r="E19" s="98"/>
      <c r="G19" s="18"/>
      <c r="H19" s="18"/>
    </row>
    <row r="20" spans="3:8" ht="24.75" customHeight="1">
      <c r="C20" s="19"/>
      <c r="D20" s="26"/>
      <c r="E20" s="92"/>
      <c r="G20" s="18"/>
      <c r="H20" s="18"/>
    </row>
    <row r="21" spans="3:8" ht="24.75" customHeight="1">
      <c r="C21" s="3"/>
      <c r="D21" s="26"/>
      <c r="E21" s="54"/>
      <c r="H21" s="18"/>
    </row>
    <row r="22" spans="3:8" ht="24.75" customHeight="1">
      <c r="C22" s="3"/>
      <c r="D22" s="26"/>
      <c r="E22" s="26"/>
      <c r="H22" s="18"/>
    </row>
    <row r="23" spans="3:8" ht="24.75" customHeight="1">
      <c r="C23" s="3"/>
      <c r="D23" s="3"/>
      <c r="E23" s="3"/>
      <c r="H23" s="18"/>
    </row>
    <row r="24" spans="3:8" ht="24.75" customHeight="1">
      <c r="C24" s="3"/>
      <c r="D24" s="3"/>
      <c r="E24" s="3"/>
      <c r="H24" s="18"/>
    </row>
    <row r="25" spans="3:8" ht="24.75" customHeight="1">
      <c r="C25" s="3"/>
      <c r="D25" s="3"/>
      <c r="E25" s="3"/>
      <c r="H25" s="18"/>
    </row>
    <row r="26" spans="3:8" ht="24.75" customHeight="1">
      <c r="C26" s="3"/>
      <c r="D26" s="3"/>
      <c r="E26" s="3"/>
      <c r="H26" s="18"/>
    </row>
    <row r="27" spans="3:8" ht="24.75" customHeight="1">
      <c r="C27" s="3"/>
      <c r="D27" s="3"/>
      <c r="E27" s="3"/>
      <c r="H27" s="18"/>
    </row>
    <row r="28" spans="3:8" ht="24.75" customHeight="1">
      <c r="C28" s="3"/>
      <c r="D28" s="3"/>
      <c r="E28" s="3"/>
      <c r="H28" s="18"/>
    </row>
    <row r="29" spans="3:8" ht="24.75" customHeight="1">
      <c r="C29" s="3"/>
      <c r="D29" s="3"/>
      <c r="E29" s="3"/>
      <c r="H29" s="18"/>
    </row>
    <row r="30" spans="3:8" ht="24.75" customHeight="1">
      <c r="C30" s="3"/>
      <c r="D30" s="3"/>
      <c r="E30" s="3"/>
      <c r="H30" s="18"/>
    </row>
    <row r="31" spans="3:8" ht="24.75" customHeight="1">
      <c r="C31" s="3"/>
      <c r="D31" s="3"/>
      <c r="E31" s="3"/>
      <c r="H31" s="18"/>
    </row>
    <row r="32" spans="3:8" ht="24.75" customHeight="1">
      <c r="C32" s="3"/>
      <c r="D32" s="3"/>
      <c r="E32" s="3"/>
      <c r="H32" s="18"/>
    </row>
    <row r="33" spans="3:5" ht="24.75" customHeight="1">
      <c r="C33" s="3"/>
      <c r="D33" s="3"/>
      <c r="E33" s="3"/>
    </row>
    <row r="34" spans="3:5" ht="24.75" customHeight="1">
      <c r="C34" s="3"/>
      <c r="D34" s="3"/>
      <c r="E34" s="3"/>
    </row>
    <row r="35" spans="3:5" ht="24.75" customHeight="1">
      <c r="C35" s="3"/>
      <c r="D35" s="3"/>
      <c r="E35" s="3"/>
    </row>
    <row r="36" spans="3:5" ht="24.75" customHeight="1">
      <c r="C36" s="3"/>
      <c r="D36" s="3"/>
      <c r="E36" s="3"/>
    </row>
    <row r="37" spans="3:5" ht="24.75" customHeight="1">
      <c r="C37" s="3"/>
      <c r="D37" s="3"/>
      <c r="E37" s="3"/>
    </row>
    <row r="38" spans="3:5" ht="24.75" customHeight="1">
      <c r="C38" s="3"/>
      <c r="D38" s="3"/>
      <c r="E38" s="3"/>
    </row>
    <row r="39" spans="3:5" ht="24.75" customHeight="1">
      <c r="C39" s="3"/>
      <c r="D39" s="3"/>
      <c r="E39" s="3"/>
    </row>
    <row r="40" spans="3:5" ht="24.75" customHeight="1">
      <c r="C40" s="3"/>
      <c r="D40" s="3"/>
      <c r="E40" s="3"/>
    </row>
    <row r="41" spans="3:5" ht="24.75" customHeight="1">
      <c r="C41" s="3"/>
      <c r="D41" s="3"/>
      <c r="E41" s="3"/>
    </row>
    <row r="42" spans="3:5" ht="24.75" customHeight="1">
      <c r="C42" s="3"/>
      <c r="D42" s="3"/>
      <c r="E42" s="3"/>
    </row>
    <row r="43" spans="3:5" ht="24.75" customHeight="1">
      <c r="C43" s="3"/>
      <c r="D43" s="3"/>
      <c r="E43" s="3"/>
    </row>
    <row r="44" spans="3:5" ht="24.75" customHeight="1">
      <c r="C44" s="3"/>
      <c r="D44" s="3"/>
      <c r="E44" s="3"/>
    </row>
    <row r="45" spans="3:5" ht="24.75" customHeight="1">
      <c r="C45" s="3"/>
      <c r="D45" s="3"/>
      <c r="E45" s="3"/>
    </row>
    <row r="46" spans="3:5" ht="24.75" customHeight="1">
      <c r="C46" s="3"/>
      <c r="D46" s="3"/>
      <c r="E46" s="3"/>
    </row>
    <row r="47" spans="3:5" ht="24.75" customHeight="1">
      <c r="C47" s="3"/>
      <c r="D47" s="3"/>
      <c r="E47" s="3"/>
    </row>
    <row r="48" spans="3:5" ht="24.75" customHeight="1">
      <c r="C48" s="3"/>
      <c r="D48" s="3"/>
      <c r="E48" s="3"/>
    </row>
    <row r="49" spans="3:5" ht="24.75" customHeight="1">
      <c r="C49" s="3"/>
      <c r="D49" s="3"/>
      <c r="E49" s="3"/>
    </row>
    <row r="50" spans="3:5" ht="24.75" customHeight="1">
      <c r="C50" s="3"/>
      <c r="D50" s="3"/>
      <c r="E50" s="3"/>
    </row>
    <row r="51" spans="3:5" ht="24.75" customHeight="1">
      <c r="C51" s="3"/>
      <c r="D51" s="3"/>
      <c r="E51" s="3"/>
    </row>
    <row r="52" spans="3:5" ht="24.75" customHeight="1">
      <c r="C52" s="3"/>
      <c r="D52" s="3"/>
      <c r="E52" s="3"/>
    </row>
    <row r="53" spans="3:5" ht="24.75" customHeight="1">
      <c r="C53" s="3"/>
      <c r="D53" s="3"/>
      <c r="E53" s="3"/>
    </row>
    <row r="54" spans="3:5" ht="24.75" customHeight="1">
      <c r="C54" s="3"/>
      <c r="D54" s="3"/>
      <c r="E54" s="3"/>
    </row>
    <row r="55" spans="3:5" ht="24.75" customHeight="1">
      <c r="C55" s="3"/>
      <c r="D55" s="3"/>
      <c r="E55" s="3"/>
    </row>
    <row r="56" spans="3:5" ht="24.75" customHeight="1">
      <c r="C56" s="3"/>
      <c r="D56" s="3"/>
      <c r="E56" s="3"/>
    </row>
    <row r="57" spans="3:5" ht="24.75" customHeight="1">
      <c r="C57" s="3"/>
      <c r="D57" s="3"/>
      <c r="E57" s="3"/>
    </row>
    <row r="58" spans="3:5" ht="24.75" customHeight="1">
      <c r="C58" s="3"/>
      <c r="D58" s="3"/>
      <c r="E58" s="3"/>
    </row>
    <row r="59" spans="3:5" ht="24.75" customHeight="1">
      <c r="C59" s="3"/>
      <c r="D59" s="3"/>
      <c r="E59" s="3"/>
    </row>
    <row r="60" spans="3:5" ht="24.75" customHeight="1">
      <c r="C60" s="3"/>
      <c r="D60" s="3"/>
      <c r="E60" s="3"/>
    </row>
    <row r="61" spans="3:5" ht="24.75" customHeight="1">
      <c r="C61" s="3"/>
      <c r="D61" s="3"/>
      <c r="E61" s="3"/>
    </row>
    <row r="62" spans="3:5" ht="24.75" customHeight="1">
      <c r="C62" s="3"/>
      <c r="D62" s="3"/>
      <c r="E62" s="3"/>
    </row>
    <row r="63" spans="3:5" ht="24.75" customHeight="1">
      <c r="C63" s="3"/>
      <c r="D63" s="3"/>
      <c r="E63" s="3"/>
    </row>
    <row r="64" spans="3:5" ht="24.75" customHeight="1">
      <c r="C64" s="3"/>
      <c r="D64" s="3"/>
      <c r="E64" s="3"/>
    </row>
    <row r="65" spans="3:5" ht="24.75" customHeight="1">
      <c r="C65" s="3"/>
      <c r="D65" s="3"/>
      <c r="E65" s="3"/>
    </row>
    <row r="66" spans="3:5" ht="24.75" customHeight="1">
      <c r="C66" s="3"/>
      <c r="D66" s="3"/>
      <c r="E66" s="3"/>
    </row>
    <row r="67" spans="3:5" ht="24.75" customHeight="1">
      <c r="C67" s="3"/>
      <c r="D67" s="3"/>
      <c r="E67" s="3"/>
    </row>
    <row r="68" spans="3:5" ht="24.75" customHeight="1">
      <c r="C68" s="3"/>
      <c r="D68" s="3"/>
      <c r="E68" s="3"/>
    </row>
    <row r="69" spans="3:5" ht="24.75" customHeight="1">
      <c r="C69" s="3"/>
      <c r="D69" s="3"/>
      <c r="E69" s="3"/>
    </row>
    <row r="70" spans="3:5" ht="24.75" customHeight="1">
      <c r="C70" s="3"/>
      <c r="D70" s="3"/>
      <c r="E70" s="3"/>
    </row>
    <row r="71" spans="3:5" ht="24.75" customHeight="1">
      <c r="C71" s="3"/>
      <c r="D71" s="3"/>
      <c r="E71" s="3"/>
    </row>
    <row r="72" spans="3:5" ht="24.75" customHeight="1">
      <c r="C72" s="3"/>
      <c r="D72" s="3"/>
      <c r="E72" s="3"/>
    </row>
    <row r="73" spans="3:5" ht="24.75" customHeight="1">
      <c r="C73" s="3"/>
      <c r="D73" s="3"/>
      <c r="E73" s="3"/>
    </row>
    <row r="74" spans="3:5" ht="24.75" customHeight="1">
      <c r="C74" s="3"/>
      <c r="D74" s="3"/>
      <c r="E74" s="3"/>
    </row>
    <row r="75" spans="3:5" ht="24.75" customHeight="1">
      <c r="C75" s="3"/>
      <c r="D75" s="3"/>
      <c r="E75" s="3"/>
    </row>
    <row r="76" spans="3:5" ht="24.75" customHeight="1">
      <c r="C76" s="3"/>
      <c r="D76" s="3"/>
      <c r="E76" s="3"/>
    </row>
    <row r="77" spans="3:5" ht="24.75" customHeight="1">
      <c r="C77" s="3"/>
      <c r="D77" s="3"/>
      <c r="E77" s="3"/>
    </row>
    <row r="78" spans="3:5" ht="24.75" customHeight="1">
      <c r="C78" s="3"/>
      <c r="D78" s="3"/>
      <c r="E78" s="3"/>
    </row>
    <row r="79" spans="3:5" ht="24.75" customHeight="1">
      <c r="C79" s="3"/>
      <c r="D79" s="3"/>
      <c r="E79" s="3"/>
    </row>
    <row r="80" spans="3:5" ht="24.75" customHeight="1">
      <c r="C80" s="3"/>
      <c r="D80" s="3"/>
      <c r="E80" s="3"/>
    </row>
    <row r="81" spans="3:5" ht="24.75" customHeight="1">
      <c r="C81" s="3"/>
      <c r="D81" s="3"/>
      <c r="E81" s="3"/>
    </row>
    <row r="82" spans="3:5" ht="24.75" customHeight="1">
      <c r="C82" s="3"/>
      <c r="D82" s="3"/>
      <c r="E82" s="3"/>
    </row>
    <row r="83" spans="3:5" ht="24.75" customHeight="1">
      <c r="C83" s="3"/>
      <c r="D83" s="3"/>
      <c r="E83" s="3"/>
    </row>
    <row r="84" spans="3:5" ht="24.75" customHeight="1">
      <c r="C84" s="3"/>
      <c r="D84" s="3"/>
      <c r="E84" s="3"/>
    </row>
    <row r="85" spans="3:5" ht="24.75" customHeight="1">
      <c r="C85" s="3"/>
      <c r="D85" s="3"/>
      <c r="E85" s="3"/>
    </row>
    <row r="86" spans="3:5" ht="24.75" customHeight="1">
      <c r="C86" s="3"/>
      <c r="D86" s="3"/>
      <c r="E86" s="3"/>
    </row>
    <row r="87" spans="3:5" ht="24.75" customHeight="1">
      <c r="C87" s="3"/>
      <c r="D87" s="3"/>
      <c r="E87" s="3"/>
    </row>
    <row r="88" spans="3:5" ht="24.75" customHeight="1">
      <c r="C88" s="3"/>
      <c r="D88" s="3"/>
      <c r="E88" s="3"/>
    </row>
    <row r="89" spans="3:5" ht="24.75" customHeight="1">
      <c r="C89" s="3"/>
      <c r="D89" s="3"/>
      <c r="E89" s="3"/>
    </row>
    <row r="90" spans="3:5" ht="24.75" customHeight="1">
      <c r="C90" s="3"/>
      <c r="D90" s="3"/>
      <c r="E90" s="3"/>
    </row>
    <row r="91" spans="3:5" ht="24.75" customHeight="1">
      <c r="C91" s="3"/>
      <c r="D91" s="3"/>
      <c r="E91" s="3"/>
    </row>
    <row r="92" spans="3:5" ht="24.75" customHeight="1">
      <c r="C92" s="3"/>
      <c r="D92" s="3"/>
      <c r="E92" s="3"/>
    </row>
    <row r="93" spans="3:5" ht="24.75" customHeight="1">
      <c r="C93" s="3"/>
      <c r="D93" s="3"/>
      <c r="E93" s="3"/>
    </row>
    <row r="94" spans="3:5" ht="24.75" customHeight="1">
      <c r="C94" s="3"/>
      <c r="D94" s="3"/>
      <c r="E94" s="3"/>
    </row>
    <row r="95" spans="3:5" ht="24.75" customHeight="1">
      <c r="C95" s="3"/>
      <c r="D95" s="3"/>
      <c r="E95" s="3"/>
    </row>
    <row r="96" spans="3:5" ht="24.75" customHeight="1">
      <c r="C96" s="3"/>
      <c r="D96" s="3"/>
      <c r="E96" s="3"/>
    </row>
    <row r="97" spans="3:5" ht="24.75" customHeight="1">
      <c r="C97" s="3"/>
      <c r="D97" s="3"/>
      <c r="E97" s="3"/>
    </row>
    <row r="98" spans="3:5" ht="24.75" customHeight="1">
      <c r="C98" s="3"/>
      <c r="D98" s="3"/>
      <c r="E98" s="3"/>
    </row>
    <row r="99" spans="3:5" ht="24.75" customHeight="1">
      <c r="C99" s="3"/>
      <c r="D99" s="3"/>
      <c r="E99" s="3"/>
    </row>
    <row r="100" spans="3:5" ht="24.75" customHeight="1">
      <c r="C100" s="3"/>
      <c r="D100" s="3"/>
      <c r="E100" s="3"/>
    </row>
    <row r="101" spans="3:5" ht="24.75" customHeight="1">
      <c r="C101" s="3"/>
      <c r="D101" s="3"/>
      <c r="E101" s="3"/>
    </row>
    <row r="102" spans="3:5" ht="24.75" customHeight="1">
      <c r="C102" s="3"/>
      <c r="D102" s="3"/>
      <c r="E102" s="3"/>
    </row>
    <row r="103" spans="3:5" ht="24.75" customHeight="1">
      <c r="C103" s="3"/>
      <c r="D103" s="3"/>
      <c r="E103" s="3"/>
    </row>
    <row r="104" spans="3:5" ht="24.75" customHeight="1">
      <c r="C104" s="3"/>
      <c r="D104" s="3"/>
      <c r="E104" s="3"/>
    </row>
    <row r="105" spans="3:5" ht="24.75" customHeight="1">
      <c r="C105" s="3"/>
      <c r="D105" s="3"/>
      <c r="E105" s="3"/>
    </row>
    <row r="106" spans="3:5" ht="24.75" customHeight="1">
      <c r="C106" s="3"/>
      <c r="D106" s="3"/>
      <c r="E106" s="3"/>
    </row>
    <row r="107" spans="3:5" ht="24.75" customHeight="1">
      <c r="C107" s="3"/>
      <c r="D107" s="3"/>
      <c r="E107" s="3"/>
    </row>
    <row r="108" spans="3:5" ht="24.75" customHeight="1">
      <c r="C108" s="3"/>
      <c r="D108" s="3"/>
      <c r="E108" s="3"/>
    </row>
    <row r="109" spans="3:5" ht="24.75" customHeight="1">
      <c r="C109" s="3"/>
      <c r="D109" s="3"/>
      <c r="E109" s="3"/>
    </row>
    <row r="110" spans="3:5" ht="24.75" customHeight="1">
      <c r="C110" s="3"/>
      <c r="D110" s="3"/>
      <c r="E110" s="3"/>
    </row>
    <row r="111" spans="3:5" ht="24.75" customHeight="1">
      <c r="C111" s="3"/>
      <c r="D111" s="3"/>
      <c r="E111" s="3"/>
    </row>
    <row r="112" spans="3:5" ht="24.75" customHeight="1">
      <c r="C112" s="3"/>
      <c r="D112" s="3"/>
      <c r="E112" s="3"/>
    </row>
    <row r="113" spans="3:5" ht="24.75" customHeight="1">
      <c r="C113" s="3"/>
      <c r="D113" s="3"/>
      <c r="E113" s="3"/>
    </row>
    <row r="114" spans="3:5" ht="24.75" customHeight="1">
      <c r="C114" s="3"/>
      <c r="D114" s="3"/>
      <c r="E114" s="3"/>
    </row>
    <row r="115" spans="3:5" ht="24.75" customHeight="1">
      <c r="C115" s="3"/>
      <c r="D115" s="3"/>
      <c r="E115" s="3"/>
    </row>
    <row r="116" spans="3:5" ht="24.75" customHeight="1">
      <c r="C116" s="3"/>
      <c r="D116" s="3"/>
      <c r="E116" s="3"/>
    </row>
    <row r="117" spans="3:5" ht="24.75" customHeight="1">
      <c r="C117" s="3"/>
      <c r="D117" s="3"/>
      <c r="E117" s="3"/>
    </row>
    <row r="118" spans="3:5" ht="24.75" customHeight="1">
      <c r="C118" s="3"/>
      <c r="D118" s="3"/>
      <c r="E118" s="3"/>
    </row>
    <row r="119" spans="3:5" ht="24.75" customHeight="1">
      <c r="C119" s="3"/>
      <c r="D119" s="3"/>
      <c r="E119" s="3"/>
    </row>
    <row r="120" spans="3:5" ht="24.75" customHeight="1">
      <c r="C120" s="3"/>
      <c r="D120" s="3"/>
      <c r="E120" s="3"/>
    </row>
    <row r="121" spans="3:5" ht="24.75" customHeight="1">
      <c r="C121" s="3"/>
      <c r="D121" s="3"/>
      <c r="E121" s="3"/>
    </row>
    <row r="122" spans="3:5" ht="24.75" customHeight="1">
      <c r="C122" s="3"/>
      <c r="D122" s="3"/>
      <c r="E122" s="3"/>
    </row>
    <row r="123" spans="3:5" ht="24.75" customHeight="1">
      <c r="C123" s="3"/>
      <c r="D123" s="3"/>
      <c r="E123" s="3"/>
    </row>
    <row r="124" spans="3:5" ht="24.75" customHeight="1">
      <c r="C124" s="3"/>
      <c r="D124" s="3"/>
      <c r="E124" s="3"/>
    </row>
    <row r="125" spans="3:5" ht="24.75" customHeight="1">
      <c r="C125" s="3"/>
      <c r="D125" s="3"/>
      <c r="E125" s="3"/>
    </row>
    <row r="126" spans="3:5" ht="24.75" customHeight="1">
      <c r="C126" s="3"/>
      <c r="D126" s="3"/>
      <c r="E126" s="3"/>
    </row>
    <row r="127" spans="3:5" ht="24.75" customHeight="1">
      <c r="C127" s="3"/>
      <c r="D127" s="3"/>
      <c r="E127" s="3"/>
    </row>
    <row r="128" spans="3:5" ht="24.75" customHeight="1">
      <c r="C128" s="3"/>
      <c r="D128" s="3"/>
      <c r="E128" s="3"/>
    </row>
    <row r="129" spans="3:5" ht="24.75" customHeight="1">
      <c r="C129" s="3"/>
      <c r="D129" s="3"/>
      <c r="E129" s="3"/>
    </row>
    <row r="130" spans="3:5" ht="24.75" customHeight="1">
      <c r="C130" s="3"/>
      <c r="D130" s="3"/>
      <c r="E130" s="3"/>
    </row>
    <row r="131" spans="3:5" ht="24.75" customHeight="1">
      <c r="C131" s="3"/>
      <c r="D131" s="3"/>
      <c r="E131" s="3"/>
    </row>
    <row r="132" spans="3:5" ht="24.75" customHeight="1">
      <c r="C132" s="3"/>
      <c r="D132" s="3"/>
      <c r="E132" s="3"/>
    </row>
    <row r="133" spans="3:5" ht="24.75" customHeight="1">
      <c r="C133" s="3"/>
      <c r="D133" s="3"/>
      <c r="E133" s="3"/>
    </row>
    <row r="134" spans="3:5" ht="24.75" customHeight="1">
      <c r="C134" s="3"/>
      <c r="D134" s="3"/>
      <c r="E134" s="3"/>
    </row>
    <row r="135" spans="3:5" ht="24.75" customHeight="1">
      <c r="C135" s="3"/>
      <c r="D135" s="3"/>
      <c r="E135" s="3"/>
    </row>
    <row r="136" spans="3:5" ht="24.75" customHeight="1">
      <c r="C136" s="3"/>
      <c r="D136" s="3"/>
      <c r="E136" s="3"/>
    </row>
    <row r="137" spans="3:5" ht="24.75" customHeight="1">
      <c r="C137" s="3"/>
      <c r="D137" s="3"/>
      <c r="E137" s="3"/>
    </row>
    <row r="138" spans="3:5" ht="24.75" customHeight="1">
      <c r="C138" s="3"/>
      <c r="D138" s="3"/>
      <c r="E138" s="3"/>
    </row>
    <row r="139" spans="3:5" ht="24.75" customHeight="1">
      <c r="C139" s="3"/>
      <c r="D139" s="3"/>
      <c r="E139" s="3"/>
    </row>
    <row r="140" spans="3:5" ht="24.75" customHeight="1">
      <c r="C140" s="3"/>
      <c r="D140" s="3"/>
      <c r="E140" s="3"/>
    </row>
    <row r="141" spans="3:5" ht="24.75" customHeight="1">
      <c r="C141" s="3"/>
      <c r="D141" s="3"/>
      <c r="E141" s="3"/>
    </row>
    <row r="142" spans="3:5" ht="24.75" customHeight="1">
      <c r="C142" s="3"/>
      <c r="D142" s="3"/>
      <c r="E142" s="3"/>
    </row>
    <row r="143" spans="3:5" ht="24.75" customHeight="1">
      <c r="C143" s="3"/>
      <c r="D143" s="3"/>
      <c r="E143" s="3"/>
    </row>
    <row r="144" spans="3:5" ht="24.75" customHeight="1">
      <c r="C144" s="3"/>
      <c r="D144" s="3"/>
      <c r="E144" s="3"/>
    </row>
    <row r="145" spans="3:5" ht="24.75" customHeight="1">
      <c r="C145" s="3"/>
      <c r="D145" s="3"/>
      <c r="E145" s="3"/>
    </row>
    <row r="146" spans="3:5" ht="24.75" customHeight="1">
      <c r="C146" s="3"/>
      <c r="D146" s="3"/>
      <c r="E146" s="3"/>
    </row>
    <row r="147" spans="3:5" ht="24.75" customHeight="1">
      <c r="C147" s="3"/>
      <c r="D147" s="3"/>
      <c r="E147" s="3"/>
    </row>
    <row r="148" spans="3:5" ht="24.75" customHeight="1">
      <c r="C148" s="3"/>
      <c r="D148" s="3"/>
      <c r="E148" s="3"/>
    </row>
    <row r="149" spans="3:5" ht="24.75" customHeight="1">
      <c r="C149" s="3"/>
      <c r="D149" s="3"/>
      <c r="E149" s="3"/>
    </row>
    <row r="150" spans="3:5" ht="24.75" customHeight="1">
      <c r="C150" s="3"/>
      <c r="D150" s="3"/>
      <c r="E150" s="3"/>
    </row>
    <row r="151" spans="3:5" ht="24.75" customHeight="1">
      <c r="C151" s="3"/>
      <c r="D151" s="3"/>
      <c r="E151" s="3"/>
    </row>
    <row r="152" spans="3:5" ht="24.75" customHeight="1">
      <c r="C152" s="3"/>
      <c r="D152" s="3"/>
      <c r="E152" s="3"/>
    </row>
    <row r="153" spans="3:5" ht="24.75" customHeight="1">
      <c r="C153" s="3"/>
      <c r="D153" s="3"/>
      <c r="E153" s="3"/>
    </row>
    <row r="154" spans="3:5" ht="24.75" customHeight="1">
      <c r="C154" s="3"/>
      <c r="D154" s="3"/>
      <c r="E154" s="3"/>
    </row>
    <row r="155" spans="3:5" ht="24.75" customHeight="1">
      <c r="C155" s="3"/>
      <c r="D155" s="3"/>
      <c r="E155" s="3"/>
    </row>
    <row r="156" spans="3:5" ht="24.75" customHeight="1">
      <c r="C156" s="3"/>
      <c r="D156" s="3"/>
      <c r="E156" s="3"/>
    </row>
    <row r="157" spans="3:5" ht="24.75" customHeight="1">
      <c r="C157" s="3"/>
      <c r="D157" s="3"/>
      <c r="E157" s="3"/>
    </row>
    <row r="158" spans="3:5" ht="24.75" customHeight="1">
      <c r="C158" s="3"/>
      <c r="D158" s="3"/>
      <c r="E158" s="3"/>
    </row>
    <row r="159" spans="3:5" ht="24.75" customHeight="1">
      <c r="C159" s="3"/>
      <c r="D159" s="3"/>
      <c r="E159" s="3"/>
    </row>
    <row r="160" spans="3:5" ht="24.75" customHeight="1">
      <c r="C160" s="3"/>
      <c r="D160" s="3"/>
      <c r="E160" s="3"/>
    </row>
    <row r="161" spans="3:5" ht="24.75" customHeight="1">
      <c r="C161" s="3"/>
      <c r="D161" s="3"/>
      <c r="E161" s="3"/>
    </row>
    <row r="162" spans="3:5" ht="24.75" customHeight="1">
      <c r="C162" s="3"/>
      <c r="D162" s="3"/>
      <c r="E162" s="3"/>
    </row>
    <row r="163" spans="3:5" ht="24.75" customHeight="1">
      <c r="C163" s="3"/>
      <c r="D163" s="3"/>
      <c r="E163" s="3"/>
    </row>
    <row r="164" spans="3:5" ht="24.75" customHeight="1">
      <c r="C164" s="3"/>
      <c r="D164" s="3"/>
      <c r="E164" s="3"/>
    </row>
    <row r="165" spans="3:5" ht="24.75" customHeight="1">
      <c r="C165" s="3"/>
      <c r="D165" s="3"/>
      <c r="E165" s="3"/>
    </row>
    <row r="166" spans="3:5" ht="24.75" customHeight="1">
      <c r="C166" s="3"/>
      <c r="D166" s="3"/>
      <c r="E166" s="3"/>
    </row>
    <row r="167" spans="3:5" ht="24.75" customHeight="1">
      <c r="C167" s="3"/>
      <c r="D167" s="3"/>
      <c r="E167" s="3"/>
    </row>
    <row r="168" spans="3:5" ht="24.75" customHeight="1">
      <c r="C168" s="3"/>
      <c r="D168" s="3"/>
      <c r="E168" s="3"/>
    </row>
    <row r="169" spans="3:5" ht="24.75" customHeight="1">
      <c r="C169" s="3"/>
      <c r="D169" s="3"/>
      <c r="E169" s="3"/>
    </row>
    <row r="170" spans="3:5" ht="24.75" customHeight="1">
      <c r="C170" s="3"/>
      <c r="D170" s="3"/>
      <c r="E170" s="3"/>
    </row>
    <row r="171" spans="3:5" ht="24.75" customHeight="1">
      <c r="C171" s="3"/>
      <c r="D171" s="3"/>
      <c r="E171" s="3"/>
    </row>
    <row r="172" spans="3:5" ht="24.75" customHeight="1">
      <c r="C172" s="3"/>
      <c r="D172" s="3"/>
      <c r="E172" s="3"/>
    </row>
    <row r="173" spans="3:5" ht="24.75" customHeight="1">
      <c r="C173" s="3"/>
      <c r="D173" s="3"/>
      <c r="E173" s="3"/>
    </row>
    <row r="174" spans="3:5" ht="24.75" customHeight="1">
      <c r="C174" s="3"/>
      <c r="D174" s="3"/>
      <c r="E174" s="3"/>
    </row>
    <row r="175" spans="3:5" ht="24.75" customHeight="1">
      <c r="C175" s="3"/>
      <c r="D175" s="3"/>
      <c r="E175" s="3"/>
    </row>
    <row r="176" spans="3:5" ht="24.75" customHeight="1">
      <c r="C176" s="3"/>
      <c r="D176" s="3"/>
      <c r="E176" s="3"/>
    </row>
    <row r="177" spans="3:5" ht="24.75" customHeight="1">
      <c r="C177" s="3"/>
      <c r="D177" s="3"/>
      <c r="E177" s="3"/>
    </row>
    <row r="178" spans="3:5" ht="24.75" customHeight="1">
      <c r="C178" s="3"/>
      <c r="D178" s="3"/>
      <c r="E178" s="3"/>
    </row>
    <row r="179" spans="3:5" ht="24.75" customHeight="1">
      <c r="C179" s="3"/>
      <c r="D179" s="3"/>
      <c r="E179" s="3"/>
    </row>
    <row r="180" spans="3:5" ht="24.75" customHeight="1">
      <c r="C180" s="3"/>
      <c r="D180" s="3"/>
      <c r="E180" s="3"/>
    </row>
    <row r="181" spans="3:5" ht="24.75" customHeight="1">
      <c r="C181" s="3"/>
      <c r="D181" s="3"/>
      <c r="E181" s="3"/>
    </row>
    <row r="182" spans="3:5" ht="24.75" customHeight="1">
      <c r="C182" s="3"/>
      <c r="D182" s="3"/>
      <c r="E182" s="3"/>
    </row>
    <row r="183" spans="3:5" ht="24.75" customHeight="1">
      <c r="C183" s="3"/>
      <c r="D183" s="3"/>
      <c r="E183" s="3"/>
    </row>
    <row r="184" spans="3:5" ht="24.75" customHeight="1">
      <c r="C184" s="3"/>
      <c r="D184" s="3"/>
      <c r="E184" s="3"/>
    </row>
    <row r="185" spans="3:5" ht="24.75" customHeight="1">
      <c r="C185" s="3"/>
      <c r="D185" s="3"/>
      <c r="E185" s="3"/>
    </row>
    <row r="186" spans="3:5" ht="24.75" customHeight="1">
      <c r="C186" s="3"/>
      <c r="D186" s="3"/>
      <c r="E186" s="3"/>
    </row>
    <row r="187" spans="3:5" ht="24.75" customHeight="1">
      <c r="C187" s="3"/>
      <c r="D187" s="3"/>
      <c r="E187" s="3"/>
    </row>
    <row r="188" spans="3:5" ht="24.75" customHeight="1">
      <c r="C188" s="3"/>
      <c r="D188" s="3"/>
      <c r="E188" s="3"/>
    </row>
    <row r="189" spans="3:5" ht="24.75" customHeight="1">
      <c r="C189" s="3"/>
      <c r="D189" s="3"/>
      <c r="E189" s="3"/>
    </row>
    <row r="190" spans="3:5" ht="24.75" customHeight="1">
      <c r="C190" s="3"/>
      <c r="D190" s="3"/>
      <c r="E190" s="3"/>
    </row>
    <row r="191" spans="3:5" ht="24.75" customHeight="1">
      <c r="C191" s="3"/>
      <c r="D191" s="3"/>
      <c r="E191" s="3"/>
    </row>
    <row r="192" spans="3:5" ht="24.75" customHeight="1">
      <c r="C192" s="3"/>
      <c r="D192" s="3"/>
      <c r="E192" s="3"/>
    </row>
    <row r="193" spans="3:5" ht="24.75" customHeight="1">
      <c r="C193" s="3"/>
      <c r="D193" s="3"/>
      <c r="E193" s="3"/>
    </row>
    <row r="194" spans="3:5" ht="24.75" customHeight="1">
      <c r="C194" s="3"/>
      <c r="D194" s="3"/>
      <c r="E194" s="3"/>
    </row>
    <row r="195" spans="3:5" ht="24.75" customHeight="1">
      <c r="C195" s="3"/>
      <c r="D195" s="3"/>
      <c r="E195" s="3"/>
    </row>
    <row r="196" spans="3:5" ht="24.75" customHeight="1">
      <c r="C196" s="3"/>
      <c r="D196" s="3"/>
      <c r="E196" s="3"/>
    </row>
    <row r="197" spans="3:5" ht="24.75" customHeight="1">
      <c r="C197" s="3"/>
      <c r="D197" s="3"/>
      <c r="E197" s="3"/>
    </row>
    <row r="198" spans="3:5" ht="24.75" customHeight="1">
      <c r="C198" s="3"/>
      <c r="D198" s="3"/>
      <c r="E198" s="3"/>
    </row>
    <row r="199" spans="3:5" ht="24.75" customHeight="1">
      <c r="C199" s="3"/>
      <c r="D199" s="3"/>
      <c r="E199" s="3"/>
    </row>
    <row r="200" spans="3:5" ht="24.75" customHeight="1">
      <c r="C200" s="3"/>
      <c r="D200" s="3"/>
      <c r="E200" s="3"/>
    </row>
    <row r="201" spans="3:5" ht="24.75" customHeight="1">
      <c r="C201" s="3"/>
      <c r="D201" s="3"/>
      <c r="E201" s="3"/>
    </row>
    <row r="202" spans="3:5" ht="24.75" customHeight="1">
      <c r="C202" s="3"/>
      <c r="D202" s="3"/>
      <c r="E202" s="3"/>
    </row>
    <row r="203" spans="3:5" ht="24.75" customHeight="1">
      <c r="C203" s="3"/>
      <c r="D203" s="3"/>
      <c r="E203" s="3"/>
    </row>
    <row r="204" spans="3:5" ht="24.75" customHeight="1">
      <c r="C204" s="3"/>
      <c r="D204" s="3"/>
      <c r="E204" s="3"/>
    </row>
    <row r="205" spans="3:5" ht="24.75" customHeight="1">
      <c r="C205" s="3"/>
      <c r="D205" s="3"/>
      <c r="E205" s="3"/>
    </row>
    <row r="206" spans="3:5" ht="24.75" customHeight="1">
      <c r="C206" s="3"/>
      <c r="D206" s="3"/>
      <c r="E206" s="3"/>
    </row>
    <row r="207" spans="3:5" ht="24.75" customHeight="1">
      <c r="C207" s="3"/>
      <c r="D207" s="3"/>
      <c r="E207" s="3"/>
    </row>
    <row r="208" spans="3:5" ht="24.75" customHeight="1">
      <c r="C208" s="3"/>
      <c r="D208" s="3"/>
      <c r="E208" s="3"/>
    </row>
    <row r="209" spans="3:5" ht="24.75" customHeight="1">
      <c r="C209" s="3"/>
      <c r="D209" s="3"/>
      <c r="E209" s="3"/>
    </row>
    <row r="210" spans="3:5" ht="24.75" customHeight="1">
      <c r="C210" s="3"/>
      <c r="D210" s="3"/>
      <c r="E210" s="3"/>
    </row>
    <row r="211" spans="3:5" ht="24.75" customHeight="1">
      <c r="C211" s="3"/>
      <c r="D211" s="3"/>
      <c r="E211" s="3"/>
    </row>
    <row r="212" spans="3:5" ht="24.75" customHeight="1">
      <c r="C212" s="3"/>
      <c r="D212" s="3"/>
      <c r="E212" s="3"/>
    </row>
  </sheetData>
  <mergeCells count="4">
    <mergeCell ref="B5:E5"/>
    <mergeCell ref="B6:E6"/>
    <mergeCell ref="B4:E4"/>
    <mergeCell ref="B3:E3"/>
  </mergeCells>
  <pageMargins left="1.3779527559055118" right="0.70866141732283472" top="0.74803149606299213" bottom="0.74803149606299213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J21"/>
  <sheetViews>
    <sheetView workbookViewId="0">
      <selection activeCell="L17" sqref="L17"/>
    </sheetView>
  </sheetViews>
  <sheetFormatPr baseColWidth="10" defaultColWidth="11.44140625" defaultRowHeight="24.75" customHeight="1"/>
  <cols>
    <col min="1" max="1" width="7.44140625" style="1" customWidth="1"/>
    <col min="2" max="2" width="48.109375" style="1" customWidth="1"/>
    <col min="3" max="3" width="24.5546875" style="1" customWidth="1"/>
    <col min="4" max="4" width="11.44140625" style="1"/>
    <col min="5" max="5" width="17.44140625" style="1" bestFit="1" customWidth="1"/>
    <col min="6" max="16384" width="11.44140625" style="1"/>
  </cols>
  <sheetData>
    <row r="3" spans="1:10" ht="24.75" customHeight="1">
      <c r="A3" s="51"/>
      <c r="B3" s="551" t="s">
        <v>306</v>
      </c>
      <c r="C3" s="551"/>
      <c r="D3" s="51"/>
      <c r="G3" s="47"/>
      <c r="H3" s="47"/>
      <c r="I3" s="47"/>
      <c r="J3" s="47"/>
    </row>
    <row r="4" spans="1:10" ht="24.75" customHeight="1">
      <c r="A4" s="51"/>
      <c r="B4" s="551" t="s">
        <v>284</v>
      </c>
      <c r="C4" s="551"/>
      <c r="D4" s="51"/>
      <c r="G4" s="47"/>
      <c r="H4" s="47"/>
      <c r="I4" s="47"/>
      <c r="J4" s="47"/>
    </row>
    <row r="5" spans="1:10" ht="24.75" customHeight="1">
      <c r="A5" s="51"/>
      <c r="B5" s="551" t="s">
        <v>307</v>
      </c>
      <c r="C5" s="551"/>
      <c r="D5" s="51"/>
      <c r="G5" s="47"/>
      <c r="H5" s="47"/>
      <c r="I5" s="47"/>
      <c r="J5" s="47"/>
    </row>
    <row r="6" spans="1:10" ht="24.75" customHeight="1">
      <c r="A6" s="51"/>
      <c r="B6" s="563">
        <v>45688</v>
      </c>
      <c r="C6" s="563"/>
      <c r="D6" s="99"/>
      <c r="E6" s="99"/>
    </row>
    <row r="7" spans="1:10" ht="24.75" customHeight="1" thickBot="1">
      <c r="A7" s="51"/>
      <c r="B7" s="67"/>
      <c r="C7" s="67"/>
      <c r="D7" s="51"/>
    </row>
    <row r="8" spans="1:10" ht="24.75" customHeight="1" thickBot="1">
      <c r="A8" s="51"/>
      <c r="B8" s="70" t="s">
        <v>268</v>
      </c>
      <c r="C8" s="72" t="s">
        <v>287</v>
      </c>
      <c r="D8" s="51"/>
    </row>
    <row r="9" spans="1:10" ht="24.75" customHeight="1">
      <c r="A9" s="51"/>
      <c r="B9" s="100" t="s">
        <v>308</v>
      </c>
      <c r="C9" s="435">
        <f>+'NOTA 3-C-CONST '!F37</f>
        <v>8126087.379999999</v>
      </c>
      <c r="D9" s="51"/>
    </row>
    <row r="10" spans="1:10" ht="24.75" customHeight="1">
      <c r="A10" s="51"/>
      <c r="B10" s="102" t="s">
        <v>309</v>
      </c>
      <c r="C10" s="436">
        <f>+'NOTA 3-ANTIC COMP Y OTRAS'!E21</f>
        <v>3385491.92</v>
      </c>
      <c r="D10" s="51"/>
    </row>
    <row r="11" spans="1:10" ht="24.75" hidden="1" customHeight="1">
      <c r="A11" s="51"/>
      <c r="B11" s="102" t="s">
        <v>310</v>
      </c>
      <c r="C11" s="436">
        <f>+'NOTA 3-Intereses'!C11</f>
        <v>0</v>
      </c>
      <c r="D11" s="51"/>
    </row>
    <row r="12" spans="1:10" ht="24.75" customHeight="1">
      <c r="A12" s="51"/>
      <c r="B12" s="102" t="s">
        <v>311</v>
      </c>
      <c r="C12" s="436">
        <f>+'Nota 3 CxC Emplead'!I10</f>
        <v>87795</v>
      </c>
      <c r="D12" s="51"/>
    </row>
    <row r="13" spans="1:10" ht="24.75" customHeight="1">
      <c r="A13" s="51"/>
      <c r="B13" s="102" t="s">
        <v>312</v>
      </c>
      <c r="C13" s="437">
        <f>+'NOTA 3-C X C'!C12</f>
        <v>230805.06</v>
      </c>
      <c r="D13" s="51"/>
    </row>
    <row r="14" spans="1:10" ht="24.75" customHeight="1">
      <c r="A14" s="51"/>
      <c r="B14" s="105" t="s">
        <v>305</v>
      </c>
      <c r="C14" s="438">
        <f>SUM(C9:C13)</f>
        <v>11830179.359999999</v>
      </c>
      <c r="D14" s="51"/>
    </row>
    <row r="15" spans="1:10" ht="24.75" customHeight="1" thickBot="1">
      <c r="A15" s="51"/>
      <c r="B15" s="107"/>
      <c r="C15" s="108"/>
      <c r="D15" s="51"/>
    </row>
    <row r="16" spans="1:10" ht="24.75" customHeight="1">
      <c r="C16" s="18"/>
    </row>
    <row r="17" spans="3:3" ht="24.75" customHeight="1">
      <c r="C17" s="18"/>
    </row>
    <row r="18" spans="3:3" ht="24.75" customHeight="1">
      <c r="C18" s="18"/>
    </row>
    <row r="19" spans="3:3" ht="24.75" customHeight="1">
      <c r="C19" s="18"/>
    </row>
    <row r="20" spans="3:3" ht="24.75" customHeight="1">
      <c r="C20" s="18"/>
    </row>
    <row r="21" spans="3:3" ht="24.75" customHeight="1">
      <c r="C21" s="18"/>
    </row>
  </sheetData>
  <mergeCells count="4">
    <mergeCell ref="B3:C3"/>
    <mergeCell ref="B4:C4"/>
    <mergeCell ref="B6:C6"/>
    <mergeCell ref="B5:C5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I54"/>
  <sheetViews>
    <sheetView topLeftCell="A7" zoomScaleNormal="100" zoomScaleSheetLayoutView="80" workbookViewId="0">
      <selection activeCell="L17" sqref="L17"/>
    </sheetView>
  </sheetViews>
  <sheetFormatPr baseColWidth="10" defaultColWidth="9.109375" defaultRowHeight="15.6"/>
  <cols>
    <col min="1" max="1" width="7.5546875" style="1" bestFit="1" customWidth="1"/>
    <col min="2" max="2" width="46.6640625" style="1" customWidth="1"/>
    <col min="3" max="3" width="68.88671875" style="1" customWidth="1"/>
    <col min="4" max="5" width="21.5546875" style="2" bestFit="1" customWidth="1"/>
    <col min="6" max="6" width="20" style="2" customWidth="1"/>
    <col min="7" max="7" width="15.6640625" style="2" bestFit="1" customWidth="1"/>
    <col min="8" max="8" width="21.109375" style="1" customWidth="1"/>
    <col min="9" max="9" width="16.88671875" style="1" bestFit="1" customWidth="1"/>
    <col min="10" max="10" width="9.88671875" style="1" bestFit="1" customWidth="1"/>
    <col min="11" max="16384" width="9.109375" style="1"/>
  </cols>
  <sheetData>
    <row r="1" spans="2:8" ht="18" customHeight="1">
      <c r="B1" s="551"/>
      <c r="C1" s="551"/>
      <c r="D1" s="551"/>
      <c r="E1" s="551"/>
      <c r="F1" s="551"/>
    </row>
    <row r="2" spans="2:8" ht="24.75" customHeight="1">
      <c r="B2" s="47"/>
      <c r="C2" s="47"/>
      <c r="D2" s="47"/>
      <c r="E2" s="47"/>
      <c r="F2" s="47"/>
    </row>
    <row r="3" spans="2:8" ht="24.75" customHeight="1">
      <c r="B3" s="551" t="s">
        <v>306</v>
      </c>
      <c r="C3" s="551"/>
      <c r="D3" s="551"/>
      <c r="E3" s="551"/>
      <c r="F3" s="551"/>
    </row>
    <row r="4" spans="2:8" ht="24.75" customHeight="1">
      <c r="B4" s="551" t="s">
        <v>284</v>
      </c>
      <c r="C4" s="551"/>
      <c r="D4" s="551"/>
      <c r="E4" s="551"/>
      <c r="F4" s="551"/>
    </row>
    <row r="5" spans="2:8" ht="24.75" customHeight="1">
      <c r="B5" s="551" t="s">
        <v>313</v>
      </c>
      <c r="C5" s="551"/>
      <c r="D5" s="551"/>
      <c r="E5" s="551"/>
      <c r="F5" s="551"/>
    </row>
    <row r="6" spans="2:8" ht="24.75" customHeight="1">
      <c r="B6" s="563">
        <v>45688</v>
      </c>
      <c r="C6" s="563"/>
      <c r="D6" s="563"/>
      <c r="E6" s="563"/>
      <c r="F6" s="563"/>
    </row>
    <row r="7" spans="2:8" ht="24.75" customHeight="1" thickBot="1">
      <c r="D7" s="1"/>
      <c r="E7" s="1"/>
      <c r="F7" s="1"/>
    </row>
    <row r="8" spans="2:8" ht="24.75" customHeight="1">
      <c r="B8" s="566" t="s">
        <v>268</v>
      </c>
      <c r="C8" s="567"/>
      <c r="D8" s="109" t="s">
        <v>314</v>
      </c>
      <c r="E8" s="570" t="s">
        <v>315</v>
      </c>
      <c r="F8" s="110" t="s">
        <v>314</v>
      </c>
      <c r="G8" s="1"/>
    </row>
    <row r="9" spans="2:8" ht="24.75" customHeight="1" thickBot="1">
      <c r="B9" s="568"/>
      <c r="C9" s="569"/>
      <c r="D9" s="111" t="s">
        <v>316</v>
      </c>
      <c r="E9" s="571"/>
      <c r="F9" s="112" t="s">
        <v>317</v>
      </c>
      <c r="G9" s="1"/>
    </row>
    <row r="10" spans="2:8" ht="39.6" customHeight="1">
      <c r="B10" s="564" t="s">
        <v>318</v>
      </c>
      <c r="C10" s="497" t="s">
        <v>319</v>
      </c>
      <c r="D10" s="498">
        <v>617492.96</v>
      </c>
      <c r="E10" s="498"/>
      <c r="F10" s="499">
        <f t="shared" ref="F10:F12" si="0">D10-E10</f>
        <v>617492.96</v>
      </c>
      <c r="G10" s="1"/>
      <c r="H10" s="18">
        <f t="shared" ref="H10:H36" si="1">+F10-G10</f>
        <v>617492.96</v>
      </c>
    </row>
    <row r="11" spans="2:8" ht="39.6" customHeight="1">
      <c r="B11" s="565"/>
      <c r="C11" s="500" t="s">
        <v>320</v>
      </c>
      <c r="D11" s="501">
        <v>4476.88</v>
      </c>
      <c r="E11" s="501"/>
      <c r="F11" s="502">
        <f t="shared" si="0"/>
        <v>4476.88</v>
      </c>
      <c r="G11" s="1"/>
      <c r="H11" s="18">
        <f t="shared" si="1"/>
        <v>4476.88</v>
      </c>
    </row>
    <row r="12" spans="2:8" ht="39.6" customHeight="1">
      <c r="B12" s="503" t="s">
        <v>321</v>
      </c>
      <c r="C12" s="500" t="s">
        <v>322</v>
      </c>
      <c r="D12" s="501">
        <v>743275.76</v>
      </c>
      <c r="E12" s="501"/>
      <c r="F12" s="501">
        <f t="shared" si="0"/>
        <v>743275.76</v>
      </c>
      <c r="G12" s="1"/>
      <c r="H12" s="18">
        <f t="shared" si="1"/>
        <v>743275.76</v>
      </c>
    </row>
    <row r="13" spans="2:8" ht="39.6" customHeight="1">
      <c r="B13" s="504" t="s">
        <v>323</v>
      </c>
      <c r="C13" s="500" t="s">
        <v>324</v>
      </c>
      <c r="D13" s="501">
        <v>27945.799999999988</v>
      </c>
      <c r="E13" s="501">
        <v>27945.8</v>
      </c>
      <c r="F13" s="501">
        <f>D13-E13</f>
        <v>0</v>
      </c>
      <c r="H13" s="18">
        <f t="shared" si="1"/>
        <v>0</v>
      </c>
    </row>
    <row r="14" spans="2:8" ht="39.6" customHeight="1">
      <c r="B14" s="503" t="s">
        <v>325</v>
      </c>
      <c r="C14" s="500" t="s">
        <v>326</v>
      </c>
      <c r="D14" s="501">
        <v>25017.630000000005</v>
      </c>
      <c r="E14" s="501"/>
      <c r="F14" s="501">
        <f>D14-E14</f>
        <v>25017.630000000005</v>
      </c>
      <c r="H14" s="18">
        <f t="shared" si="1"/>
        <v>25017.630000000005</v>
      </c>
    </row>
    <row r="15" spans="2:8" ht="39.6" customHeight="1">
      <c r="B15" s="504" t="s">
        <v>327</v>
      </c>
      <c r="C15" s="500" t="s">
        <v>328</v>
      </c>
      <c r="D15" s="501">
        <v>601501.59</v>
      </c>
      <c r="E15" s="501"/>
      <c r="F15" s="501">
        <f>D15-E15</f>
        <v>601501.59</v>
      </c>
      <c r="H15" s="18">
        <f t="shared" si="1"/>
        <v>601501.59</v>
      </c>
    </row>
    <row r="16" spans="2:8" ht="39.6" customHeight="1">
      <c r="B16" s="503" t="s">
        <v>329</v>
      </c>
      <c r="C16" s="500" t="s">
        <v>330</v>
      </c>
      <c r="D16" s="501">
        <v>608783.95000000007</v>
      </c>
      <c r="E16" s="501"/>
      <c r="F16" s="501">
        <f>D16-E16</f>
        <v>608783.95000000007</v>
      </c>
      <c r="H16" s="18">
        <f t="shared" si="1"/>
        <v>608783.95000000007</v>
      </c>
    </row>
    <row r="17" spans="2:9" ht="39.6" customHeight="1">
      <c r="B17" s="503" t="s">
        <v>331</v>
      </c>
      <c r="C17" s="500" t="s">
        <v>332</v>
      </c>
      <c r="D17" s="501">
        <v>814702.41</v>
      </c>
      <c r="E17" s="501">
        <f>60932.32+89366.58+114703.52+206038.52+116814.12+162730.25+64117.1</f>
        <v>814702.40999999992</v>
      </c>
      <c r="F17" s="501">
        <f t="shared" ref="F17:F29" si="2">D17-E17</f>
        <v>0</v>
      </c>
      <c r="H17" s="18">
        <f t="shared" si="1"/>
        <v>0</v>
      </c>
      <c r="I17" s="28"/>
    </row>
    <row r="18" spans="2:9" ht="39.6" customHeight="1">
      <c r="B18" s="503" t="s">
        <v>333</v>
      </c>
      <c r="C18" s="500" t="s">
        <v>334</v>
      </c>
      <c r="D18" s="501">
        <v>104068.5</v>
      </c>
      <c r="E18" s="501">
        <v>91558.02</v>
      </c>
      <c r="F18" s="501">
        <f t="shared" si="2"/>
        <v>12510.479999999996</v>
      </c>
      <c r="H18" s="18">
        <f t="shared" si="1"/>
        <v>12510.479999999996</v>
      </c>
    </row>
    <row r="19" spans="2:9" ht="39.6" customHeight="1">
      <c r="B19" s="504" t="s">
        <v>335</v>
      </c>
      <c r="C19" s="500" t="s">
        <v>336</v>
      </c>
      <c r="D19" s="501">
        <v>5506.4100000000108</v>
      </c>
      <c r="E19" s="501"/>
      <c r="F19" s="502">
        <f t="shared" si="2"/>
        <v>5506.4100000000108</v>
      </c>
      <c r="H19" s="18">
        <f t="shared" si="1"/>
        <v>5506.4100000000108</v>
      </c>
    </row>
    <row r="20" spans="2:9" ht="39.6" customHeight="1">
      <c r="B20" s="503" t="s">
        <v>337</v>
      </c>
      <c r="C20" s="500" t="s">
        <v>338</v>
      </c>
      <c r="D20" s="501">
        <v>499058.10999999993</v>
      </c>
      <c r="E20" s="501"/>
      <c r="F20" s="501">
        <f t="shared" si="2"/>
        <v>499058.10999999993</v>
      </c>
      <c r="H20" s="18">
        <f t="shared" si="1"/>
        <v>499058.10999999993</v>
      </c>
    </row>
    <row r="21" spans="2:9" ht="39.6" customHeight="1">
      <c r="B21" s="503" t="s">
        <v>339</v>
      </c>
      <c r="C21" s="500" t="s">
        <v>340</v>
      </c>
      <c r="D21" s="501">
        <v>639569.22</v>
      </c>
      <c r="E21" s="501">
        <v>46161.86</v>
      </c>
      <c r="F21" s="501">
        <f t="shared" si="2"/>
        <v>593407.36</v>
      </c>
      <c r="H21" s="18">
        <f t="shared" si="1"/>
        <v>593407.36</v>
      </c>
      <c r="I21" s="114"/>
    </row>
    <row r="22" spans="2:9" ht="39.6" customHeight="1">
      <c r="B22" s="503" t="s">
        <v>341</v>
      </c>
      <c r="C22" s="500" t="s">
        <v>342</v>
      </c>
      <c r="D22" s="501">
        <v>851941.5199999999</v>
      </c>
      <c r="E22" s="501">
        <f>67011.97+323371.84+273564.81</f>
        <v>663948.62000000011</v>
      </c>
      <c r="F22" s="501">
        <f t="shared" si="2"/>
        <v>187992.89999999979</v>
      </c>
      <c r="H22" s="18">
        <f t="shared" si="1"/>
        <v>187992.89999999979</v>
      </c>
    </row>
    <row r="23" spans="2:9" ht="39.6" customHeight="1">
      <c r="B23" s="503" t="s">
        <v>343</v>
      </c>
      <c r="C23" s="500" t="s">
        <v>344</v>
      </c>
      <c r="D23" s="501">
        <v>537913.55000000005</v>
      </c>
      <c r="E23" s="501">
        <f>120419.27+411350.52</f>
        <v>531769.79</v>
      </c>
      <c r="F23" s="501">
        <f t="shared" si="2"/>
        <v>6143.7600000000093</v>
      </c>
      <c r="H23" s="18">
        <f t="shared" si="1"/>
        <v>6143.7600000000093</v>
      </c>
    </row>
    <row r="24" spans="2:9" ht="45.75" customHeight="1">
      <c r="B24" s="503" t="s">
        <v>345</v>
      </c>
      <c r="C24" s="500" t="s">
        <v>346</v>
      </c>
      <c r="D24" s="501">
        <v>811013.05000000016</v>
      </c>
      <c r="E24" s="501">
        <f>46165.68+60453.88+61520.11+146866.88</f>
        <v>315006.55</v>
      </c>
      <c r="F24" s="501">
        <f t="shared" si="2"/>
        <v>496006.50000000017</v>
      </c>
      <c r="H24" s="18">
        <f t="shared" si="1"/>
        <v>496006.50000000017</v>
      </c>
    </row>
    <row r="25" spans="2:9" ht="31.8">
      <c r="B25" s="503" t="s">
        <v>347</v>
      </c>
      <c r="C25" s="500" t="s">
        <v>348</v>
      </c>
      <c r="D25" s="501">
        <v>1762344.18</v>
      </c>
      <c r="E25" s="501">
        <f>235574.08+226712.69+213416.11+229506.01+236973.83</f>
        <v>1142182.72</v>
      </c>
      <c r="F25" s="501">
        <f t="shared" si="2"/>
        <v>620161.46</v>
      </c>
      <c r="H25" s="18">
        <f t="shared" si="1"/>
        <v>620161.46</v>
      </c>
    </row>
    <row r="26" spans="2:9" ht="39.6" customHeight="1">
      <c r="B26" s="503" t="s">
        <v>349</v>
      </c>
      <c r="C26" s="500" t="s">
        <v>350</v>
      </c>
      <c r="D26" s="501">
        <v>942080.79</v>
      </c>
      <c r="E26" s="501">
        <f>60579.28+105283.76</f>
        <v>165863.03999999998</v>
      </c>
      <c r="F26" s="501">
        <f t="shared" si="2"/>
        <v>776217.75</v>
      </c>
      <c r="H26" s="18">
        <f t="shared" si="1"/>
        <v>776217.75</v>
      </c>
    </row>
    <row r="27" spans="2:9" ht="39.6" customHeight="1">
      <c r="B27" s="504" t="s">
        <v>335</v>
      </c>
      <c r="C27" s="500" t="s">
        <v>351</v>
      </c>
      <c r="D27" s="501">
        <v>2257548</v>
      </c>
      <c r="E27" s="501">
        <f>301624.06+330236.89+273097.18+150481.58+238893.34+241462.29+302629.52</f>
        <v>1838424.86</v>
      </c>
      <c r="F27" s="501">
        <f t="shared" si="2"/>
        <v>419123.1399999999</v>
      </c>
      <c r="H27" s="18">
        <f t="shared" si="1"/>
        <v>419123.1399999999</v>
      </c>
    </row>
    <row r="28" spans="2:9" ht="39.6" customHeight="1">
      <c r="B28" s="503" t="s">
        <v>335</v>
      </c>
      <c r="C28" s="500" t="s">
        <v>352</v>
      </c>
      <c r="D28" s="501">
        <v>1640362.07</v>
      </c>
      <c r="E28" s="501">
        <f>564682.61+149772.01+168279.13+347104.04+3000+407524.28</f>
        <v>1640362.07</v>
      </c>
      <c r="F28" s="501">
        <f t="shared" si="2"/>
        <v>0</v>
      </c>
      <c r="H28" s="18">
        <f t="shared" si="1"/>
        <v>0</v>
      </c>
    </row>
    <row r="29" spans="2:9" ht="49.5" customHeight="1">
      <c r="B29" s="503" t="s">
        <v>353</v>
      </c>
      <c r="C29" s="500" t="s">
        <v>354</v>
      </c>
      <c r="D29" s="501">
        <v>485158.58</v>
      </c>
      <c r="E29" s="501"/>
      <c r="F29" s="501">
        <f t="shared" si="2"/>
        <v>485158.58</v>
      </c>
      <c r="H29" s="18">
        <f t="shared" si="1"/>
        <v>485158.58</v>
      </c>
    </row>
    <row r="30" spans="2:9" ht="39.6" customHeight="1">
      <c r="B30" s="504" t="s">
        <v>355</v>
      </c>
      <c r="C30" s="505" t="s">
        <v>356</v>
      </c>
      <c r="D30" s="501">
        <v>1718395.94</v>
      </c>
      <c r="E30" s="501">
        <f>640523.72+514814.38</f>
        <v>1155338.1000000001</v>
      </c>
      <c r="F30" s="501">
        <f t="shared" ref="F30:F36" si="3">D30-E30</f>
        <v>563057.83999999985</v>
      </c>
      <c r="H30" s="18">
        <f t="shared" si="1"/>
        <v>563057.83999999985</v>
      </c>
    </row>
    <row r="31" spans="2:9" ht="39.6" customHeight="1">
      <c r="B31" s="506" t="s">
        <v>357</v>
      </c>
      <c r="C31" s="505" t="s">
        <v>358</v>
      </c>
      <c r="D31" s="501">
        <v>1168921.01</v>
      </c>
      <c r="E31" s="501">
        <f>369830.56+623527.81</f>
        <v>993358.37000000011</v>
      </c>
      <c r="F31" s="501">
        <f t="shared" si="3"/>
        <v>175562.6399999999</v>
      </c>
      <c r="H31" s="18">
        <f t="shared" si="1"/>
        <v>175562.6399999999</v>
      </c>
    </row>
    <row r="32" spans="2:9" ht="39.6" customHeight="1">
      <c r="B32" s="506" t="s">
        <v>359</v>
      </c>
      <c r="C32" s="505" t="s">
        <v>360</v>
      </c>
      <c r="D32" s="501">
        <v>939063.12</v>
      </c>
      <c r="E32" s="501">
        <f>306503.37+472144.9</f>
        <v>778648.27</v>
      </c>
      <c r="F32" s="501">
        <f t="shared" si="3"/>
        <v>160414.84999999998</v>
      </c>
      <c r="H32" s="18">
        <f t="shared" si="1"/>
        <v>160414.84999999998</v>
      </c>
    </row>
    <row r="33" spans="2:8" ht="39.6" customHeight="1">
      <c r="B33" s="506" t="s">
        <v>361</v>
      </c>
      <c r="C33" s="505" t="s">
        <v>362</v>
      </c>
      <c r="D33" s="501">
        <v>1252298.3899999999</v>
      </c>
      <c r="E33" s="501">
        <f>292101.94+357646.09+328346.97+266421.49</f>
        <v>1244516.49</v>
      </c>
      <c r="F33" s="501">
        <f t="shared" si="3"/>
        <v>7781.8999999999069</v>
      </c>
      <c r="H33" s="18">
        <f t="shared" si="1"/>
        <v>7781.8999999999069</v>
      </c>
    </row>
    <row r="34" spans="2:8" ht="59.25" customHeight="1">
      <c r="B34" s="506" t="s">
        <v>363</v>
      </c>
      <c r="C34" s="505" t="s">
        <v>364</v>
      </c>
      <c r="D34" s="501">
        <v>1736309.42</v>
      </c>
      <c r="E34" s="501">
        <f>1920270.65-666377.45+384440.57</f>
        <v>1638333.77</v>
      </c>
      <c r="F34" s="501">
        <f t="shared" si="3"/>
        <v>97975.649999999907</v>
      </c>
      <c r="H34" s="18">
        <f>+F34-G34</f>
        <v>97975.649999999907</v>
      </c>
    </row>
    <row r="35" spans="2:8" ht="43.5" customHeight="1">
      <c r="B35" s="506" t="s">
        <v>357</v>
      </c>
      <c r="C35" s="505" t="s">
        <v>365</v>
      </c>
      <c r="D35" s="501">
        <v>232924.81</v>
      </c>
      <c r="E35" s="501">
        <v>0</v>
      </c>
      <c r="F35" s="501">
        <f t="shared" si="3"/>
        <v>232924.81</v>
      </c>
      <c r="H35" s="18">
        <f t="shared" si="1"/>
        <v>232924.81</v>
      </c>
    </row>
    <row r="36" spans="2:8" ht="53.25" customHeight="1">
      <c r="B36" s="506" t="s">
        <v>363</v>
      </c>
      <c r="C36" s="505" t="s">
        <v>366</v>
      </c>
      <c r="D36" s="507">
        <v>186534.47</v>
      </c>
      <c r="E36" s="507">
        <v>0</v>
      </c>
      <c r="F36" s="507">
        <f t="shared" si="3"/>
        <v>186534.47</v>
      </c>
      <c r="H36" s="18">
        <f t="shared" si="1"/>
        <v>186534.47</v>
      </c>
    </row>
    <row r="37" spans="2:8" ht="29.25" customHeight="1">
      <c r="B37" s="115"/>
      <c r="C37" s="127" t="s">
        <v>367</v>
      </c>
      <c r="D37" s="90">
        <f>SUM(D10:D36)</f>
        <v>21214208.120000001</v>
      </c>
      <c r="E37" s="90">
        <f>SUM(E10:E36)</f>
        <v>13088120.74</v>
      </c>
      <c r="F37" s="90">
        <f>SUM(F10:F36)</f>
        <v>8126087.379999999</v>
      </c>
      <c r="G37" s="2">
        <f>SUM(G10:G36)</f>
        <v>0</v>
      </c>
      <c r="H37" s="2">
        <f>SUM(H10:H36)</f>
        <v>8126087.379999999</v>
      </c>
    </row>
    <row r="38" spans="2:8" ht="21.75" customHeight="1">
      <c r="B38" s="115"/>
      <c r="C38" s="115"/>
      <c r="D38" s="89"/>
      <c r="E38" s="89"/>
      <c r="F38" s="89"/>
      <c r="H38" s="18"/>
    </row>
    <row r="39" spans="2:8">
      <c r="H39" s="18"/>
    </row>
    <row r="40" spans="2:8">
      <c r="H40" s="18">
        <f>+F37-G37</f>
        <v>8126087.379999999</v>
      </c>
    </row>
    <row r="41" spans="2:8" ht="16.2">
      <c r="C41" s="116" t="s">
        <v>368</v>
      </c>
      <c r="F41" s="117"/>
      <c r="H41" s="18"/>
    </row>
    <row r="42" spans="2:8" ht="16.2">
      <c r="C42" s="2"/>
      <c r="F42" s="50"/>
    </row>
    <row r="54" spans="6:6">
      <c r="F54" s="2">
        <v>0</v>
      </c>
    </row>
  </sheetData>
  <mergeCells count="8">
    <mergeCell ref="B5:F5"/>
    <mergeCell ref="B10:B11"/>
    <mergeCell ref="B1:F1"/>
    <mergeCell ref="B3:F3"/>
    <mergeCell ref="B8:C9"/>
    <mergeCell ref="B4:F4"/>
    <mergeCell ref="B6:F6"/>
    <mergeCell ref="E8:E9"/>
  </mergeCells>
  <phoneticPr fontId="43" type="noConversion"/>
  <pageMargins left="0.35433070866141736" right="0.74803149606299213" top="0.98425196850393704" bottom="0.98425196850393704" header="0" footer="0"/>
  <pageSetup paperSize="9" scale="48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34e139-98e4-4c0e-a873-2c35232cb746">
      <Terms xmlns="http://schemas.microsoft.com/office/infopath/2007/PartnerControls"/>
    </lcf76f155ced4ddcb4097134ff3c332f>
    <TaxCatchAll xmlns="829fe298-b51a-4ddb-9231-b6d9f99174b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D84E918004A044BCE378A5E7129897" ma:contentTypeVersion="16" ma:contentTypeDescription="Create a new document." ma:contentTypeScope="" ma:versionID="0cdf09f1943ad43c0e25cae96e27e640">
  <xsd:schema xmlns:xsd="http://www.w3.org/2001/XMLSchema" xmlns:xs="http://www.w3.org/2001/XMLSchema" xmlns:p="http://schemas.microsoft.com/office/2006/metadata/properties" xmlns:ns2="5234e139-98e4-4c0e-a873-2c35232cb746" xmlns:ns3="829fe298-b51a-4ddb-9231-b6d9f99174b5" targetNamespace="http://schemas.microsoft.com/office/2006/metadata/properties" ma:root="true" ma:fieldsID="3168ee5d106abb05725fbbabe84b1df2" ns2:_="" ns3:_="">
    <xsd:import namespace="5234e139-98e4-4c0e-a873-2c35232cb746"/>
    <xsd:import namespace="829fe298-b51a-4ddb-9231-b6d9f99174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4e139-98e4-4c0e-a873-2c35232cb7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9fe298-b51a-4ddb-9231-b6d9f99174b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61e3d88-04e1-43ed-88d6-65224a3bdf07}" ma:internalName="TaxCatchAll" ma:showField="CatchAllData" ma:web="829fe298-b51a-4ddb-9231-b6d9f99174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E1187603-E1DF-40ED-A8CE-010332182A79}">
  <ds:schemaRefs>
    <ds:schemaRef ds:uri="http://schemas.microsoft.com/office/2006/metadata/properties"/>
    <ds:schemaRef ds:uri="http://schemas.microsoft.com/office/infopath/2007/PartnerControls"/>
    <ds:schemaRef ds:uri="5234e139-98e4-4c0e-a873-2c35232cb746"/>
    <ds:schemaRef ds:uri="829fe298-b51a-4ddb-9231-b6d9f99174b5"/>
  </ds:schemaRefs>
</ds:datastoreItem>
</file>

<file path=customXml/itemProps2.xml><?xml version="1.0" encoding="utf-8"?>
<ds:datastoreItem xmlns:ds="http://schemas.openxmlformats.org/officeDocument/2006/customXml" ds:itemID="{129C60E9-23AB-43E9-A4AB-19167BA2FC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7A07C8-5475-466D-B7FF-0106440C5C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34e139-98e4-4c0e-a873-2c35232cb746"/>
    <ds:schemaRef ds:uri="829fe298-b51a-4ddb-9231-b6d9f99174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18AFEAD-B07C-4143-B1DB-C84A104FD8AF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33</vt:i4>
      </vt:variant>
      <vt:variant>
        <vt:lpstr>Rangos con nombre</vt:lpstr>
      </vt:variant>
      <vt:variant>
        <vt:i4>24</vt:i4>
      </vt:variant>
    </vt:vector>
  </HeadingPairs>
  <TitlesOfParts>
    <vt:vector size="57" baseType="lpstr">
      <vt:lpstr>Estado Situación</vt:lpstr>
      <vt:lpstr>Estado de Resultados</vt:lpstr>
      <vt:lpstr>A-SITUACION ANEXOS</vt:lpstr>
      <vt:lpstr>A-RESULTADOS ANEXOS</vt:lpstr>
      <vt:lpstr>NOTA 14-CAPITAL</vt:lpstr>
      <vt:lpstr>Cédula Nota 1</vt:lpstr>
      <vt:lpstr>Cédula Nota 2 </vt:lpstr>
      <vt:lpstr>Nota 3 Resumen</vt:lpstr>
      <vt:lpstr>NOTA 3-C-CONST </vt:lpstr>
      <vt:lpstr>NOTA 3-ANTIC COMP Y OTRAS</vt:lpstr>
      <vt:lpstr>NOTA 3-Intereses</vt:lpstr>
      <vt:lpstr>Nota 3 CxC Emplead</vt:lpstr>
      <vt:lpstr>NOTA 3-C X C</vt:lpstr>
      <vt:lpstr>NOTA 4  INVENTARIO</vt:lpstr>
      <vt:lpstr>NOTA 5  GPA</vt:lpstr>
      <vt:lpstr>NOTA 5-SEG PAG X ANT</vt:lpstr>
      <vt:lpstr>NOTA 5 - LIC MS 365 AMORTIZ</vt:lpstr>
      <vt:lpstr>NOTA 5 LICENCIAS JIRA</vt:lpstr>
      <vt:lpstr>NOTA 5 LIC ANTIDESASTRES</vt:lpstr>
      <vt:lpstr>NOTA 5 Licencias Adobe</vt:lpstr>
      <vt:lpstr>NOTA 6-DIVIDENDOS</vt:lpstr>
      <vt:lpstr>NOTA 7-AVANCES A FUTURAS CAPIT</vt:lpstr>
      <vt:lpstr>Tabacalera</vt:lpstr>
      <vt:lpstr>NOTA 8-MOBILIARIO Y EQUIPOS, NE</vt:lpstr>
      <vt:lpstr>NOTA 9-CEDULAS CxP PROVEEDORES </vt:lpstr>
      <vt:lpstr>NOTA 10-CEDULAS CxP CONTRATISTA</vt:lpstr>
      <vt:lpstr>NOTA 11-GASTOS PERSONAL X PAGAR</vt:lpstr>
      <vt:lpstr>NOTA 11-BONIFICACION</vt:lpstr>
      <vt:lpstr>NOTA 11-VACACIONES</vt:lpstr>
      <vt:lpstr>NOTA 11-REGALIA</vt:lpstr>
      <vt:lpstr>NOTA 12-RETENCIONES X PAGAR</vt:lpstr>
      <vt:lpstr>NOTA 13-OTRAS CXP</vt:lpstr>
      <vt:lpstr>Hoja5</vt:lpstr>
      <vt:lpstr>'A-RESULTADOS ANEXOS'!Área_de_impresión</vt:lpstr>
      <vt:lpstr>'A-SITUACION ANEXOS'!Área_de_impresión</vt:lpstr>
      <vt:lpstr>'Cédula Nota 1'!Área_de_impresión</vt:lpstr>
      <vt:lpstr>'Cédula Nota 2 '!Área_de_impresión</vt:lpstr>
      <vt:lpstr>'Estado de Resultados'!Área_de_impresión</vt:lpstr>
      <vt:lpstr>'NOTA 10-CEDULAS CxP CONTRATISTA'!Área_de_impresión</vt:lpstr>
      <vt:lpstr>'NOTA 11-GASTOS PERSONAL X PAGAR'!Área_de_impresión</vt:lpstr>
      <vt:lpstr>'NOTA 11-VACACIONES'!Área_de_impresión</vt:lpstr>
      <vt:lpstr>'NOTA 12-RETENCIONES X PAGAR'!Área_de_impresión</vt:lpstr>
      <vt:lpstr>'NOTA 13-OTRAS CXP'!Área_de_impresión</vt:lpstr>
      <vt:lpstr>'NOTA 14-CAPITAL'!Área_de_impresión</vt:lpstr>
      <vt:lpstr>'NOTA 3-ANTIC COMP Y OTRAS'!Área_de_impresión</vt:lpstr>
      <vt:lpstr>'NOTA 3-C X C'!Área_de_impresión</vt:lpstr>
      <vt:lpstr>'NOTA 3-C-CONST '!Área_de_impresión</vt:lpstr>
      <vt:lpstr>'NOTA 4  INVENTARIO'!Área_de_impresión</vt:lpstr>
      <vt:lpstr>'NOTA 5  GPA'!Área_de_impresión</vt:lpstr>
      <vt:lpstr>'NOTA 5 - LIC MS 365 AMORTIZ'!Área_de_impresión</vt:lpstr>
      <vt:lpstr>'NOTA 7-AVANCES A FUTURAS CAPIT'!Área_de_impresión</vt:lpstr>
      <vt:lpstr>'NOTA 8-MOBILIARIO Y EQUIPOS, NE'!Área_de_impresión</vt:lpstr>
      <vt:lpstr>'NOTA 9-CEDULAS CxP PROVEEDORES '!Área_de_impresión</vt:lpstr>
      <vt:lpstr>'A-RESULTADOS ANEXOS'!Títulos_a_imprimir</vt:lpstr>
      <vt:lpstr>'A-SITUACION ANEXOS'!Títulos_a_imprimir</vt:lpstr>
      <vt:lpstr>'NOTA 11-VACACIONES'!Títulos_a_imprimir</vt:lpstr>
      <vt:lpstr>'NOTA 3-C-CONST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Ulises Rosa</dc:creator>
  <cp:keywords/>
  <dc:description/>
  <cp:lastModifiedBy>Desirée Marín</cp:lastModifiedBy>
  <cp:revision/>
  <dcterms:created xsi:type="dcterms:W3CDTF">2008-09-03T15:34:54Z</dcterms:created>
  <dcterms:modified xsi:type="dcterms:W3CDTF">2025-02-28T18:16:43Z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Katty Suero</vt:lpwstr>
  </property>
  <property fmtid="{D5CDD505-2E9C-101B-9397-08002B2CF9AE}" pid="3" name="Order">
    <vt:lpwstr>1188400.00000000</vt:lpwstr>
  </property>
  <property fmtid="{D5CDD505-2E9C-101B-9397-08002B2CF9AE}" pid="4" name="display_urn:schemas-microsoft-com:office:office#Author">
    <vt:lpwstr>Katty Suero</vt:lpwstr>
  </property>
  <property fmtid="{D5CDD505-2E9C-101B-9397-08002B2CF9AE}" pid="5" name="ContentTypeId">
    <vt:lpwstr>0x0101004FD84E918004A044BCE378A5E7129897</vt:lpwstr>
  </property>
  <property fmtid="{D5CDD505-2E9C-101B-9397-08002B2CF9AE}" pid="6" name="MediaServiceImageTags">
    <vt:lpwstr/>
  </property>
</Properties>
</file>