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ccuevas_fonper_gov_do/Documents/Escritorio/"/>
    </mc:Choice>
  </mc:AlternateContent>
  <xr:revisionPtr revIDLastSave="651" documentId="8_{6F8EE59F-4E36-4372-AE39-1FA5FCC9C826}" xr6:coauthVersionLast="47" xr6:coauthVersionMax="47" xr10:uidLastSave="{4616872B-EE06-45D7-9F2B-3FE08B67A47D}"/>
  <bookViews>
    <workbookView xWindow="-120" yWindow="-120" windowWidth="20730" windowHeight="11160" tabRatio="840" xr2:uid="{00000000-000D-0000-FFFF-FFFF00000000}"/>
  </bookViews>
  <sheets>
    <sheet name="Estado Situación" sheetId="2" r:id="rId1"/>
    <sheet name="Estado de Resultados" sheetId="1" r:id="rId2"/>
    <sheet name="A-SITUACION ANEXOS" sheetId="19" r:id="rId3"/>
    <sheet name="NOTA 14-CAPITAL" sheetId="16" r:id="rId4"/>
    <sheet name="A-RESULTADOS ANEXOS" sheetId="34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LIC ALDABA LINKEDIN" sheetId="55" state="hidden" r:id="rId17"/>
    <sheet name="NOTA 5 - LIC MS 365 AMORTIZ" sheetId="38" state="hidden" r:id="rId18"/>
    <sheet name="NOTA 5 LICENCIAS JIRA" sheetId="46" state="hidden" r:id="rId19"/>
    <sheet name="NOTA 5 LIC ANTIDESASTRES" sheetId="54" state="hidden" r:id="rId20"/>
    <sheet name="NOTA 5 Licencias Adobe" sheetId="47" state="hidden" r:id="rId21"/>
    <sheet name="NOTA 6-DIVIDENDOS" sheetId="32" state="hidden" r:id="rId22"/>
    <sheet name="NOTA 7-AVANCES A FUTURAS CAPIT" sheetId="51" state="hidden" r:id="rId23"/>
    <sheet name="Tabacalera" sheetId="53" state="hidden" r:id="rId24"/>
    <sheet name="NOTA 8-MOBILIARIO Y EQUIPOS, NE" sheetId="29" state="hidden" r:id="rId25"/>
    <sheet name="NOTA 9-CEDULAS CxP PROVEEDORES " sheetId="25" state="hidden" r:id="rId26"/>
    <sheet name="NOTA 10-CEDULAS CxP CONTRATISTA" sheetId="52" state="hidden" r:id="rId27"/>
    <sheet name="NOTA 11-GASTOS PERSONAL X PAGAR" sheetId="35" state="hidden" r:id="rId28"/>
    <sheet name="NOTA 11-BONIFICACION" sheetId="42" state="hidden" r:id="rId29"/>
    <sheet name="NOTA 11-VACACIONES" sheetId="44" state="hidden" r:id="rId30"/>
    <sheet name="NOTA 11-REGALIA" sheetId="36" state="hidden" r:id="rId31"/>
    <sheet name="NOTA 12-RETENCIONES X PAGAR" sheetId="50" state="hidden" r:id="rId32"/>
    <sheet name="NOTA 13-OTRAS CXP" sheetId="30" state="hidden" r:id="rId33"/>
    <sheet name="Hoja5" sheetId="20" state="hidden" r:id="rId34"/>
  </sheets>
  <externalReferences>
    <externalReference r:id="rId35"/>
  </externalReferences>
  <definedNames>
    <definedName name="_xlnm.Print_Area" localSheetId="4">'A-RESULTADOS ANEXOS'!$A$1:$F$141</definedName>
    <definedName name="_xlnm.Print_Area" localSheetId="2">'A-SITUACION ANEXOS'!$A$1:$F$172</definedName>
    <definedName name="_xlnm.Print_Area" localSheetId="5">'Cédula Nota 1'!$A$1:$E$16</definedName>
    <definedName name="_xlnm.Print_Area" localSheetId="6">'Cédula Nota 2 '!$A$1:$E$21</definedName>
    <definedName name="_xlnm.Print_Area" localSheetId="1">'Estado de Resultados'!$A$1:$E$52</definedName>
    <definedName name="_xlnm.Print_Area" localSheetId="0">'Estado Situación'!$A$1:$E$66</definedName>
    <definedName name="_xlnm.Print_Area" localSheetId="26">'NOTA 10-CEDULAS CxP CONTRATISTA'!$A$1:$C$44</definedName>
    <definedName name="_xlnm.Print_Area" localSheetId="28">'NOTA 11-BONIFICACION'!$A$1:$D$43</definedName>
    <definedName name="_xlnm.Print_Area" localSheetId="27">'NOTA 11-GASTOS PERSONAL X PAGAR'!$A$1:$B$61</definedName>
    <definedName name="_xlnm.Print_Area" localSheetId="31">'NOTA 12-RETENCIONES X PAGAR'!$A$1:$B$50</definedName>
    <definedName name="_xlnm.Print_Area" localSheetId="32">'NOTA 13-OTRAS CXP'!$A$1:$B$16</definedName>
    <definedName name="_xlnm.Print_Area" localSheetId="3">'NOTA 14-CAPITAL'!$A$1:$H$29</definedName>
    <definedName name="_xlnm.Print_Area" localSheetId="9">'NOTA 3-ANTIC COMP Y OTRAS'!$B$1:$F$24</definedName>
    <definedName name="_xlnm.Print_Area" localSheetId="12">'NOTA 3-C X C'!$B$1:$C$17</definedName>
    <definedName name="_xlnm.Print_Area" localSheetId="8">'NOTA 3-C-CONST '!$A$1:$F$38</definedName>
    <definedName name="_xlnm.Print_Area" localSheetId="13">'NOTA 4  INVENTARIO'!$A$1:$C$40</definedName>
    <definedName name="_xlnm.Print_Area" localSheetId="14">'NOTA 5  GPA'!$A$1:$D$23</definedName>
    <definedName name="_xlnm.Print_Area" localSheetId="17">'NOTA 5 - LIC MS 365 AMORTIZ'!$A$1:$F$44</definedName>
    <definedName name="_xlnm.Print_Area" localSheetId="22">'NOTA 7-AVANCES A FUTURAS CAPIT'!$A$1:$D$46</definedName>
    <definedName name="_xlnm.Print_Area" localSheetId="24">'NOTA 8-MOBILIARIO Y EQUIPOS, NE'!$A$1:$J$31</definedName>
    <definedName name="_xlnm.Print_Area" localSheetId="25">'NOTA 9-CEDULAS CxP PROVEEDORES '!$A$1:$C$93</definedName>
    <definedName name="_xlnm.Print_Titles" localSheetId="4">'A-RESULTADOS ANEXOS'!$1:$8</definedName>
    <definedName name="_xlnm.Print_Titles" localSheetId="2">'A-SITUACION ANEXOS'!$1:$9</definedName>
    <definedName name="_xlnm.Print_Titles" localSheetId="29">'NOTA 11-VACACIONES'!$1:$7</definedName>
    <definedName name="_xlnm.Print_Titles" localSheetId="8">'NOTA 3-C-CONST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4" l="1"/>
  <c r="B10" i="35"/>
  <c r="D38" i="2"/>
  <c r="C33" i="2"/>
  <c r="D37" i="2"/>
  <c r="D36" i="2"/>
  <c r="D35" i="2"/>
  <c r="D33" i="2"/>
  <c r="D21" i="2"/>
  <c r="C21" i="2"/>
  <c r="B12" i="35"/>
  <c r="F162" i="19"/>
  <c r="F161" i="19"/>
  <c r="F160" i="19"/>
  <c r="F159" i="19"/>
  <c r="F158" i="19"/>
  <c r="F152" i="19"/>
  <c r="F150" i="19"/>
  <c r="F148" i="19"/>
  <c r="F142" i="19"/>
  <c r="F141" i="19"/>
  <c r="F135" i="19"/>
  <c r="F134" i="19"/>
  <c r="F133" i="19"/>
  <c r="F132" i="19"/>
  <c r="F131" i="19"/>
  <c r="F130" i="19"/>
  <c r="F124" i="19"/>
  <c r="F123" i="19"/>
  <c r="F122" i="19"/>
  <c r="F121" i="19"/>
  <c r="F120" i="19"/>
  <c r="F119" i="19"/>
  <c r="F118" i="19"/>
  <c r="F117" i="19"/>
  <c r="F111" i="19"/>
  <c r="F110" i="19"/>
  <c r="F109" i="19"/>
  <c r="F108" i="19"/>
  <c r="F107" i="19"/>
  <c r="F100" i="19"/>
  <c r="F99" i="19"/>
  <c r="F95" i="19"/>
  <c r="F94" i="19"/>
  <c r="F90" i="19"/>
  <c r="F89" i="19"/>
  <c r="F85" i="19"/>
  <c r="F84" i="19"/>
  <c r="F80" i="19"/>
  <c r="F79" i="19"/>
  <c r="F75" i="19"/>
  <c r="F74" i="19"/>
  <c r="F73" i="19"/>
  <c r="F69" i="19"/>
  <c r="F68" i="19"/>
  <c r="F67" i="19"/>
  <c r="F63" i="19"/>
  <c r="F62" i="19"/>
  <c r="F61" i="19"/>
  <c r="F57" i="19"/>
  <c r="F56" i="19"/>
  <c r="F55" i="19"/>
  <c r="F49" i="19"/>
  <c r="F48" i="19"/>
  <c r="F42" i="19"/>
  <c r="F41" i="19"/>
  <c r="F35" i="19"/>
  <c r="F34" i="19"/>
  <c r="F33" i="19"/>
  <c r="F24" i="19"/>
  <c r="F15" i="19"/>
  <c r="F16" i="19"/>
  <c r="F17" i="19"/>
  <c r="F18" i="19"/>
  <c r="B9" i="35"/>
  <c r="D35" i="34"/>
  <c r="B44" i="35"/>
  <c r="B11" i="50" l="1"/>
  <c r="F48" i="34" l="1"/>
  <c r="D159" i="19" l="1"/>
  <c r="C44" i="42"/>
  <c r="E33" i="7"/>
  <c r="E43" i="34"/>
  <c r="D43" i="34"/>
  <c r="C43" i="34"/>
  <c r="E113" i="19"/>
  <c r="D111" i="19"/>
  <c r="D110" i="19"/>
  <c r="D74" i="19"/>
  <c r="D68" i="19"/>
  <c r="D62" i="19"/>
  <c r="H93" i="44"/>
  <c r="U93" i="44" s="1"/>
  <c r="F93" i="44"/>
  <c r="V93" i="44" s="1"/>
  <c r="H92" i="44"/>
  <c r="U92" i="44" s="1"/>
  <c r="F92" i="44"/>
  <c r="H91" i="44"/>
  <c r="U91" i="44" s="1"/>
  <c r="F91" i="44"/>
  <c r="V91" i="44" s="1"/>
  <c r="U90" i="44"/>
  <c r="H90" i="44"/>
  <c r="F90" i="44"/>
  <c r="V90" i="44" s="1"/>
  <c r="H89" i="44"/>
  <c r="U89" i="44" s="1"/>
  <c r="F89" i="44"/>
  <c r="U88" i="44"/>
  <c r="H88" i="44"/>
  <c r="F88" i="44"/>
  <c r="V88" i="44" s="1"/>
  <c r="H87" i="44"/>
  <c r="U87" i="44" s="1"/>
  <c r="F87" i="44"/>
  <c r="V87" i="44" s="1"/>
  <c r="U86" i="44"/>
  <c r="H86" i="44"/>
  <c r="F86" i="44"/>
  <c r="V86" i="44" s="1"/>
  <c r="H85" i="44"/>
  <c r="U85" i="44" s="1"/>
  <c r="F85" i="44"/>
  <c r="V85" i="44" s="1"/>
  <c r="U84" i="44"/>
  <c r="H84" i="44"/>
  <c r="F84" i="44"/>
  <c r="V84" i="44" s="1"/>
  <c r="H83" i="44"/>
  <c r="U83" i="44" s="1"/>
  <c r="F83" i="44"/>
  <c r="V83" i="44" s="1"/>
  <c r="U82" i="44"/>
  <c r="H82" i="44"/>
  <c r="F82" i="44"/>
  <c r="V82" i="44" s="1"/>
  <c r="H81" i="44"/>
  <c r="U81" i="44" s="1"/>
  <c r="F81" i="44"/>
  <c r="U80" i="44"/>
  <c r="H80" i="44"/>
  <c r="F80" i="44"/>
  <c r="V80" i="44" s="1"/>
  <c r="H79" i="44"/>
  <c r="U79" i="44" s="1"/>
  <c r="F79" i="44"/>
  <c r="U78" i="44"/>
  <c r="H78" i="44"/>
  <c r="F78" i="44"/>
  <c r="V78" i="44" s="1"/>
  <c r="H77" i="44"/>
  <c r="U77" i="44" s="1"/>
  <c r="F77" i="44"/>
  <c r="U76" i="44"/>
  <c r="H76" i="44"/>
  <c r="F76" i="44"/>
  <c r="V76" i="44" s="1"/>
  <c r="H75" i="44"/>
  <c r="U75" i="44" s="1"/>
  <c r="F75" i="44"/>
  <c r="V75" i="44" s="1"/>
  <c r="U74" i="44"/>
  <c r="H74" i="44"/>
  <c r="F74" i="44"/>
  <c r="V74" i="44" s="1"/>
  <c r="H73" i="44"/>
  <c r="U73" i="44" s="1"/>
  <c r="F73" i="44"/>
  <c r="U72" i="44"/>
  <c r="H72" i="44"/>
  <c r="F72" i="44"/>
  <c r="V72" i="44" s="1"/>
  <c r="H71" i="44"/>
  <c r="U71" i="44" s="1"/>
  <c r="F71" i="44"/>
  <c r="V71" i="44" s="1"/>
  <c r="U70" i="44"/>
  <c r="H70" i="44"/>
  <c r="F70" i="44"/>
  <c r="V70" i="44" s="1"/>
  <c r="H69" i="44"/>
  <c r="U69" i="44" s="1"/>
  <c r="F69" i="44"/>
  <c r="V69" i="44" s="1"/>
  <c r="U68" i="44"/>
  <c r="H68" i="44"/>
  <c r="F68" i="44"/>
  <c r="V68" i="44" s="1"/>
  <c r="H67" i="44"/>
  <c r="U67" i="44" s="1"/>
  <c r="F67" i="44"/>
  <c r="V67" i="44" s="1"/>
  <c r="U66" i="44"/>
  <c r="H66" i="44"/>
  <c r="F66" i="44"/>
  <c r="V66" i="44" s="1"/>
  <c r="H65" i="44"/>
  <c r="U65" i="44" s="1"/>
  <c r="F65" i="44"/>
  <c r="U64" i="44"/>
  <c r="H64" i="44"/>
  <c r="F64" i="44"/>
  <c r="V64" i="44" s="1"/>
  <c r="H63" i="44"/>
  <c r="U63" i="44" s="1"/>
  <c r="F63" i="44"/>
  <c r="U62" i="44"/>
  <c r="H62" i="44"/>
  <c r="F62" i="44"/>
  <c r="V62" i="44" s="1"/>
  <c r="H61" i="44"/>
  <c r="U61" i="44" s="1"/>
  <c r="F61" i="44"/>
  <c r="U60" i="44"/>
  <c r="H60" i="44"/>
  <c r="F60" i="44"/>
  <c r="V60" i="44" s="1"/>
  <c r="H59" i="44"/>
  <c r="U59" i="44" s="1"/>
  <c r="F59" i="44"/>
  <c r="V59" i="44" s="1"/>
  <c r="U58" i="44"/>
  <c r="H58" i="44"/>
  <c r="F58" i="44"/>
  <c r="V58" i="44" s="1"/>
  <c r="H57" i="44"/>
  <c r="U57" i="44" s="1"/>
  <c r="F57" i="44"/>
  <c r="U56" i="44"/>
  <c r="H56" i="44"/>
  <c r="F56" i="44"/>
  <c r="V56" i="44" s="1"/>
  <c r="H55" i="44"/>
  <c r="U55" i="44" s="1"/>
  <c r="F55" i="44"/>
  <c r="V55" i="44" s="1"/>
  <c r="U54" i="44"/>
  <c r="H54" i="44"/>
  <c r="F54" i="44"/>
  <c r="V54" i="44" s="1"/>
  <c r="H53" i="44"/>
  <c r="U53" i="44" s="1"/>
  <c r="F53" i="44"/>
  <c r="V53" i="44" s="1"/>
  <c r="U52" i="44"/>
  <c r="H52" i="44"/>
  <c r="F52" i="44"/>
  <c r="V52" i="44" s="1"/>
  <c r="H51" i="44"/>
  <c r="U51" i="44" s="1"/>
  <c r="F51" i="44"/>
  <c r="V51" i="44" s="1"/>
  <c r="U50" i="44"/>
  <c r="H50" i="44"/>
  <c r="F50" i="44"/>
  <c r="V50" i="44" s="1"/>
  <c r="H49" i="44"/>
  <c r="U49" i="44" s="1"/>
  <c r="F49" i="44"/>
  <c r="U48" i="44"/>
  <c r="H48" i="44"/>
  <c r="F48" i="44"/>
  <c r="V48" i="44" s="1"/>
  <c r="H47" i="44"/>
  <c r="U47" i="44" s="1"/>
  <c r="F47" i="44"/>
  <c r="U46" i="44"/>
  <c r="H46" i="44"/>
  <c r="F46" i="44"/>
  <c r="V46" i="44" s="1"/>
  <c r="H45" i="44"/>
  <c r="U45" i="44" s="1"/>
  <c r="F45" i="44"/>
  <c r="U44" i="44"/>
  <c r="H44" i="44"/>
  <c r="F44" i="44"/>
  <c r="V44" i="44" s="1"/>
  <c r="H43" i="44"/>
  <c r="U43" i="44" s="1"/>
  <c r="F43" i="44"/>
  <c r="V43" i="44" s="1"/>
  <c r="U42" i="44"/>
  <c r="H42" i="44"/>
  <c r="F42" i="44"/>
  <c r="V42" i="44" s="1"/>
  <c r="H41" i="44"/>
  <c r="U41" i="44" s="1"/>
  <c r="F41" i="44"/>
  <c r="U40" i="44"/>
  <c r="H40" i="44"/>
  <c r="F40" i="44"/>
  <c r="V40" i="44" s="1"/>
  <c r="H39" i="44"/>
  <c r="U39" i="44" s="1"/>
  <c r="F39" i="44"/>
  <c r="V39" i="44" s="1"/>
  <c r="U38" i="44"/>
  <c r="H38" i="44"/>
  <c r="F38" i="44"/>
  <c r="V38" i="44" s="1"/>
  <c r="H37" i="44"/>
  <c r="U37" i="44" s="1"/>
  <c r="F37" i="44"/>
  <c r="V37" i="44" s="1"/>
  <c r="U36" i="44"/>
  <c r="H36" i="44"/>
  <c r="F36" i="44"/>
  <c r="V36" i="44" s="1"/>
  <c r="H35" i="44"/>
  <c r="U35" i="44" s="1"/>
  <c r="F35" i="44"/>
  <c r="V35" i="44" s="1"/>
  <c r="U34" i="44"/>
  <c r="H34" i="44"/>
  <c r="F34" i="44"/>
  <c r="V34" i="44" s="1"/>
  <c r="H33" i="44"/>
  <c r="U33" i="44" s="1"/>
  <c r="F33" i="44"/>
  <c r="U32" i="44"/>
  <c r="H32" i="44"/>
  <c r="F32" i="44"/>
  <c r="V32" i="44" s="1"/>
  <c r="H31" i="44"/>
  <c r="U31" i="44" s="1"/>
  <c r="F31" i="44"/>
  <c r="U30" i="44"/>
  <c r="H30" i="44"/>
  <c r="F30" i="44"/>
  <c r="V30" i="44" s="1"/>
  <c r="H29" i="44"/>
  <c r="U29" i="44" s="1"/>
  <c r="F29" i="44"/>
  <c r="U28" i="44"/>
  <c r="H28" i="44"/>
  <c r="F28" i="44"/>
  <c r="V28" i="44" s="1"/>
  <c r="H27" i="44"/>
  <c r="U27" i="44" s="1"/>
  <c r="F27" i="44"/>
  <c r="V27" i="44" s="1"/>
  <c r="U26" i="44"/>
  <c r="H26" i="44"/>
  <c r="F26" i="44"/>
  <c r="V26" i="44" s="1"/>
  <c r="H25" i="44"/>
  <c r="U25" i="44" s="1"/>
  <c r="F25" i="44"/>
  <c r="U24" i="44"/>
  <c r="H24" i="44"/>
  <c r="F24" i="44"/>
  <c r="V24" i="44" s="1"/>
  <c r="H23" i="44"/>
  <c r="U23" i="44" s="1"/>
  <c r="F23" i="44"/>
  <c r="V23" i="44" s="1"/>
  <c r="U22" i="44"/>
  <c r="H22" i="44"/>
  <c r="F22" i="44"/>
  <c r="V22" i="44" s="1"/>
  <c r="H21" i="44"/>
  <c r="U21" i="44" s="1"/>
  <c r="F21" i="44"/>
  <c r="U20" i="44"/>
  <c r="H20" i="44"/>
  <c r="F20" i="44"/>
  <c r="V20" i="44" s="1"/>
  <c r="H19" i="44"/>
  <c r="U19" i="44" s="1"/>
  <c r="F19" i="44"/>
  <c r="V19" i="44" s="1"/>
  <c r="U18" i="44"/>
  <c r="H18" i="44"/>
  <c r="F18" i="44"/>
  <c r="V18" i="44" s="1"/>
  <c r="H17" i="44"/>
  <c r="U17" i="44" s="1"/>
  <c r="F17" i="44"/>
  <c r="U16" i="44"/>
  <c r="H16" i="44"/>
  <c r="F16" i="44"/>
  <c r="V16" i="44" s="1"/>
  <c r="H15" i="44"/>
  <c r="U15" i="44" s="1"/>
  <c r="F15" i="44"/>
  <c r="U14" i="44"/>
  <c r="H14" i="44"/>
  <c r="F14" i="44"/>
  <c r="V14" i="44" s="1"/>
  <c r="H13" i="44"/>
  <c r="U13" i="44" s="1"/>
  <c r="F13" i="44"/>
  <c r="U12" i="44"/>
  <c r="H12" i="44"/>
  <c r="F12" i="44"/>
  <c r="V12" i="44" s="1"/>
  <c r="H11" i="44"/>
  <c r="U11" i="44" s="1"/>
  <c r="F11" i="44"/>
  <c r="V11" i="44" s="1"/>
  <c r="U10" i="44"/>
  <c r="H10" i="44"/>
  <c r="F10" i="44"/>
  <c r="V10" i="44" s="1"/>
  <c r="H9" i="44"/>
  <c r="U9" i="44" s="1"/>
  <c r="F9" i="44"/>
  <c r="U8" i="44"/>
  <c r="H8" i="44"/>
  <c r="F8" i="44"/>
  <c r="V8" i="44" s="1"/>
  <c r="V17" i="44" l="1"/>
  <c r="V33" i="44"/>
  <c r="V49" i="44"/>
  <c r="V65" i="44"/>
  <c r="V81" i="44"/>
  <c r="V21" i="44"/>
  <c r="V15" i="44"/>
  <c r="V31" i="44"/>
  <c r="V47" i="44"/>
  <c r="V63" i="44"/>
  <c r="V79" i="44"/>
  <c r="V92" i="44"/>
  <c r="V9" i="44"/>
  <c r="V94" i="44" s="1"/>
  <c r="V96" i="44" s="1"/>
  <c r="V25" i="44"/>
  <c r="V41" i="44"/>
  <c r="V57" i="44"/>
  <c r="V73" i="44"/>
  <c r="V89" i="44"/>
  <c r="V13" i="44"/>
  <c r="V29" i="44"/>
  <c r="V45" i="44"/>
  <c r="V61" i="44"/>
  <c r="V77" i="44"/>
  <c r="C19" i="51" l="1"/>
  <c r="H62" i="51"/>
  <c r="H53" i="51"/>
  <c r="H10" i="41" l="1"/>
  <c r="H9" i="41"/>
  <c r="E36" i="7"/>
  <c r="E30" i="7"/>
  <c r="F37" i="54" l="1"/>
  <c r="F38" i="54"/>
  <c r="D35" i="42"/>
  <c r="D32" i="42"/>
  <c r="E164" i="19" l="1"/>
  <c r="E154" i="19"/>
  <c r="E58" i="19"/>
  <c r="E51" i="19"/>
  <c r="E44" i="19"/>
  <c r="E20" i="19"/>
  <c r="E28" i="19"/>
  <c r="E37" i="19"/>
  <c r="D134" i="19"/>
  <c r="C17" i="51" l="1"/>
  <c r="H41" i="51"/>
  <c r="C15" i="51" s="1"/>
  <c r="H34" i="51"/>
  <c r="D14" i="31"/>
  <c r="E23" i="13"/>
  <c r="H11" i="41"/>
  <c r="G11" i="41"/>
  <c r="C37" i="37"/>
  <c r="F36" i="54"/>
  <c r="F17" i="55"/>
  <c r="F20" i="55" s="1"/>
  <c r="F14" i="55"/>
  <c r="F29" i="38"/>
  <c r="F17" i="38"/>
  <c r="B16" i="50"/>
  <c r="E53" i="50"/>
  <c r="D53" i="50"/>
  <c r="C36" i="2" l="1"/>
  <c r="I10" i="41"/>
  <c r="F29" i="55" l="1"/>
  <c r="F42" i="55" s="1"/>
  <c r="F43" i="55" s="1"/>
  <c r="C13" i="39" s="1"/>
  <c r="D24" i="55"/>
  <c r="D22" i="55"/>
  <c r="F22" i="55" s="1"/>
  <c r="F24" i="55" s="1"/>
  <c r="B62" i="50"/>
  <c r="B48" i="50"/>
  <c r="B49" i="50" s="1"/>
  <c r="B34" i="50"/>
  <c r="B35" i="50" s="1"/>
  <c r="C124" i="25"/>
  <c r="F30" i="47" l="1"/>
  <c r="F42" i="47" s="1"/>
  <c r="E26" i="7"/>
  <c r="E27" i="7"/>
  <c r="E32" i="7"/>
  <c r="E31" i="7"/>
  <c r="F35" i="54"/>
  <c r="F23" i="47"/>
  <c r="D16" i="42" l="1"/>
  <c r="D17" i="42"/>
  <c r="D15" i="42"/>
  <c r="D36" i="42"/>
  <c r="D37" i="42"/>
  <c r="D38" i="42"/>
  <c r="D39" i="42"/>
  <c r="D40" i="42"/>
  <c r="D41" i="42"/>
  <c r="D42" i="42"/>
  <c r="D31" i="42"/>
  <c r="F13" i="34" l="1"/>
  <c r="F14" i="34"/>
  <c r="F15" i="34"/>
  <c r="E137" i="19"/>
  <c r="D135" i="19" l="1"/>
  <c r="C44" i="2"/>
  <c r="D95" i="19"/>
  <c r="E24" i="16"/>
  <c r="E101" i="19"/>
  <c r="D101" i="19"/>
  <c r="E96" i="19"/>
  <c r="F101" i="19" l="1"/>
  <c r="D96" i="19"/>
  <c r="F96" i="19" s="1"/>
  <c r="E24" i="7" l="1"/>
  <c r="F49" i="23"/>
  <c r="F34" i="54" l="1"/>
  <c r="F66" i="34"/>
  <c r="D70" i="19"/>
  <c r="D64" i="19"/>
  <c r="C23" i="37" l="1"/>
  <c r="E12" i="26"/>
  <c r="F33" i="54"/>
  <c r="B10" i="36"/>
  <c r="D108" i="19"/>
  <c r="D18" i="19"/>
  <c r="D17" i="19"/>
  <c r="D16" i="19"/>
  <c r="D15" i="19"/>
  <c r="D14" i="19"/>
  <c r="F22" i="54"/>
  <c r="C31" i="1"/>
  <c r="C30" i="1"/>
  <c r="E52" i="34"/>
  <c r="C16" i="25" l="1"/>
  <c r="F30" i="54" l="1"/>
  <c r="E28" i="7" l="1"/>
  <c r="E17" i="7"/>
  <c r="E34" i="7"/>
  <c r="F34" i="7" s="1"/>
  <c r="F35" i="7"/>
  <c r="C17" i="29"/>
  <c r="F42" i="38" l="1"/>
  <c r="F38" i="34"/>
  <c r="F39" i="34"/>
  <c r="B12" i="30" l="1"/>
  <c r="F123" i="34"/>
  <c r="F124" i="34"/>
  <c r="E24" i="53" l="1"/>
  <c r="D32" i="1" l="1"/>
  <c r="F121" i="34" l="1"/>
  <c r="D151" i="19"/>
  <c r="F151" i="19" s="1"/>
  <c r="F23" i="29" l="1"/>
  <c r="F22" i="29"/>
  <c r="F21" i="29"/>
  <c r="F16" i="29"/>
  <c r="F15" i="29"/>
  <c r="F14" i="29"/>
  <c r="F20" i="29"/>
  <c r="C113" i="25"/>
  <c r="C114" i="25" s="1"/>
  <c r="F86" i="34"/>
  <c r="F45" i="34"/>
  <c r="F34" i="34"/>
  <c r="C16" i="51"/>
  <c r="D109" i="19" s="1"/>
  <c r="F120" i="34" l="1"/>
  <c r="F84" i="34"/>
  <c r="F85" i="34"/>
  <c r="F87" i="34"/>
  <c r="E115" i="34"/>
  <c r="E90" i="34"/>
  <c r="F76" i="34" l="1"/>
  <c r="F70" i="34"/>
  <c r="F77" i="34"/>
  <c r="F78" i="34"/>
  <c r="F79" i="34"/>
  <c r="F80" i="34"/>
  <c r="C51" i="25"/>
  <c r="D90" i="34" l="1"/>
  <c r="F75" i="34"/>
  <c r="D52" i="34"/>
  <c r="C89" i="25"/>
  <c r="C91" i="25" s="1"/>
  <c r="C10" i="40"/>
  <c r="D33" i="19" s="1"/>
  <c r="C21" i="1" l="1"/>
  <c r="C22" i="1"/>
  <c r="F16" i="54"/>
  <c r="F19" i="54" s="1"/>
  <c r="F29" i="54" l="1"/>
  <c r="F31" i="54" s="1"/>
  <c r="F32" i="54" s="1"/>
  <c r="F24" i="54"/>
  <c r="F26" i="54" s="1"/>
  <c r="D24" i="54" l="1"/>
  <c r="D26" i="54"/>
  <c r="F42" i="54"/>
  <c r="F44" i="54" s="1"/>
  <c r="C15" i="39" s="1"/>
  <c r="F41" i="46"/>
  <c r="E41" i="53"/>
  <c r="C103" i="25" l="1"/>
  <c r="D24" i="19" l="1"/>
  <c r="D28" i="19" s="1"/>
  <c r="C41" i="52" l="1"/>
  <c r="H17" i="29"/>
  <c r="I16" i="29"/>
  <c r="E17" i="29"/>
  <c r="D121" i="19" s="1"/>
  <c r="J16" i="29"/>
  <c r="D17" i="29"/>
  <c r="D119" i="19" s="1"/>
  <c r="D117" i="19"/>
  <c r="C11" i="45" l="1"/>
  <c r="C11" i="40" l="1"/>
  <c r="F36" i="7"/>
  <c r="F129" i="34" l="1"/>
  <c r="F65" i="34"/>
  <c r="F62" i="34"/>
  <c r="H24" i="29" l="1"/>
  <c r="E24" i="29"/>
  <c r="D122" i="19" s="1"/>
  <c r="D24" i="29"/>
  <c r="D120" i="19" s="1"/>
  <c r="C24" i="29"/>
  <c r="D118" i="19" s="1"/>
  <c r="I23" i="29"/>
  <c r="J23" i="29" s="1"/>
  <c r="I22" i="29"/>
  <c r="J22" i="29" s="1"/>
  <c r="I21" i="29"/>
  <c r="I20" i="29"/>
  <c r="H26" i="29"/>
  <c r="I15" i="29"/>
  <c r="I14" i="29"/>
  <c r="J14" i="29" s="1"/>
  <c r="I13" i="29"/>
  <c r="F13" i="29"/>
  <c r="J13" i="29" s="1"/>
  <c r="I12" i="29"/>
  <c r="I17" i="29" l="1"/>
  <c r="D123" i="19" s="1"/>
  <c r="I24" i="29"/>
  <c r="J20" i="29"/>
  <c r="J15" i="29"/>
  <c r="D26" i="29"/>
  <c r="F12" i="29"/>
  <c r="F17" i="29" s="1"/>
  <c r="E26" i="29"/>
  <c r="C26" i="29"/>
  <c r="J21" i="29"/>
  <c r="F24" i="29"/>
  <c r="I26" i="29" l="1"/>
  <c r="D124" i="19"/>
  <c r="D126" i="19" s="1"/>
  <c r="J24" i="29"/>
  <c r="F26" i="29"/>
  <c r="J12" i="29"/>
  <c r="J17" i="29" s="1"/>
  <c r="C26" i="2" l="1"/>
  <c r="J26" i="29"/>
  <c r="H36" i="51" l="1"/>
  <c r="C14" i="51" l="1"/>
  <c r="D107" i="19" l="1"/>
  <c r="D113" i="19" s="1"/>
  <c r="C25" i="2" s="1"/>
  <c r="F108" i="34" l="1"/>
  <c r="F105" i="34" l="1"/>
  <c r="F106" i="34"/>
  <c r="F107" i="34"/>
  <c r="F63" i="34"/>
  <c r="C64" i="25"/>
  <c r="C65" i="25" s="1"/>
  <c r="C32" i="1" l="1"/>
  <c r="B33" i="52"/>
  <c r="B32" i="52"/>
  <c r="B36" i="25" l="1"/>
  <c r="B35" i="25"/>
  <c r="B56" i="25" s="1"/>
  <c r="B71" i="25" s="1"/>
  <c r="B34" i="25"/>
  <c r="B55" i="25" s="1"/>
  <c r="B70" i="25" s="1"/>
  <c r="F113" i="19"/>
  <c r="E25" i="2" l="1"/>
  <c r="F137" i="34" l="1"/>
  <c r="F95" i="34"/>
  <c r="F81" i="34"/>
  <c r="E25" i="7" l="1"/>
  <c r="D152" i="19" l="1"/>
  <c r="D149" i="19"/>
  <c r="F149" i="19" s="1"/>
  <c r="D148" i="19"/>
  <c r="A36" i="35"/>
  <c r="A35" i="35"/>
  <c r="A39" i="50"/>
  <c r="A38" i="50"/>
  <c r="A25" i="50"/>
  <c r="A24" i="50"/>
  <c r="D133" i="19"/>
  <c r="D132" i="19"/>
  <c r="D131" i="19"/>
  <c r="D130" i="19"/>
  <c r="E144" i="19"/>
  <c r="D154" i="19" l="1"/>
  <c r="F137" i="19"/>
  <c r="D137" i="19"/>
  <c r="C10" i="52" l="1"/>
  <c r="D141" i="19" s="1"/>
  <c r="D144" i="19" s="1"/>
  <c r="D15" i="31" l="1"/>
  <c r="D25" i="31"/>
  <c r="D28" i="31" s="1"/>
  <c r="D19" i="31"/>
  <c r="D21" i="31" s="1"/>
  <c r="D27" i="31" s="1"/>
  <c r="F32" i="7"/>
  <c r="D162" i="19"/>
  <c r="D161" i="19"/>
  <c r="D160" i="19"/>
  <c r="D158" i="19"/>
  <c r="F14" i="19"/>
  <c r="B47" i="35"/>
  <c r="B48" i="35" s="1"/>
  <c r="C39" i="37"/>
  <c r="C44" i="37" s="1"/>
  <c r="B14" i="35"/>
  <c r="B12" i="32"/>
  <c r="B12" i="36"/>
  <c r="B16" i="36" s="1"/>
  <c r="D168" i="19"/>
  <c r="F168" i="19" s="1"/>
  <c r="F170" i="19" s="1"/>
  <c r="F16" i="47"/>
  <c r="F19" i="47" s="1"/>
  <c r="F43" i="46"/>
  <c r="C14" i="39" s="1"/>
  <c r="F22" i="46"/>
  <c r="D26" i="46" s="1"/>
  <c r="F26" i="46" s="1"/>
  <c r="F16" i="46"/>
  <c r="F20" i="38"/>
  <c r="D22" i="38" s="1"/>
  <c r="F14" i="38"/>
  <c r="F43" i="38" s="1"/>
  <c r="C12" i="39" s="1"/>
  <c r="F25" i="23"/>
  <c r="F21" i="23"/>
  <c r="F28" i="23" s="1"/>
  <c r="D29" i="39"/>
  <c r="D28" i="39"/>
  <c r="D42" i="19"/>
  <c r="C12" i="22"/>
  <c r="E11" i="41"/>
  <c r="F33" i="7"/>
  <c r="F31" i="7"/>
  <c r="F30" i="7"/>
  <c r="F29" i="7"/>
  <c r="F28" i="7"/>
  <c r="F27" i="7"/>
  <c r="F26" i="7"/>
  <c r="F25" i="7"/>
  <c r="F24" i="7"/>
  <c r="E23" i="7"/>
  <c r="F23" i="7" s="1"/>
  <c r="E22" i="7"/>
  <c r="F22" i="7" s="1"/>
  <c r="F21" i="7"/>
  <c r="F20" i="7"/>
  <c r="F19" i="7"/>
  <c r="F18" i="7"/>
  <c r="F17" i="7"/>
  <c r="F16" i="7"/>
  <c r="F15" i="7"/>
  <c r="F14" i="7"/>
  <c r="F13" i="7"/>
  <c r="F12" i="7"/>
  <c r="F11" i="7"/>
  <c r="F10" i="7"/>
  <c r="C12" i="26"/>
  <c r="E140" i="34"/>
  <c r="D140" i="34"/>
  <c r="F138" i="34"/>
  <c r="F136" i="34"/>
  <c r="G136" i="34" s="1"/>
  <c r="E132" i="34"/>
  <c r="D132" i="34"/>
  <c r="C24" i="1" s="1"/>
  <c r="F130" i="34"/>
  <c r="F128" i="34"/>
  <c r="F127" i="34"/>
  <c r="F126" i="34"/>
  <c r="F125" i="34"/>
  <c r="F122" i="34"/>
  <c r="F119" i="34"/>
  <c r="D115" i="34"/>
  <c r="F113" i="34"/>
  <c r="F112" i="34"/>
  <c r="F111" i="34"/>
  <c r="F110" i="34"/>
  <c r="F109" i="34"/>
  <c r="F104" i="34"/>
  <c r="F103" i="34"/>
  <c r="F101" i="34"/>
  <c r="F100" i="34"/>
  <c r="F102" i="34"/>
  <c r="F99" i="34"/>
  <c r="F98" i="34"/>
  <c r="F97" i="34"/>
  <c r="F96" i="34"/>
  <c r="F94" i="34"/>
  <c r="F88" i="34"/>
  <c r="F83" i="34"/>
  <c r="F82" i="34"/>
  <c r="F74" i="34"/>
  <c r="F73" i="34"/>
  <c r="F72" i="34"/>
  <c r="F71" i="34"/>
  <c r="F69" i="34"/>
  <c r="F68" i="34"/>
  <c r="F67" i="34"/>
  <c r="F64" i="34"/>
  <c r="F61" i="34"/>
  <c r="F60" i="34"/>
  <c r="F59" i="34"/>
  <c r="F58" i="34"/>
  <c r="F57" i="34"/>
  <c r="F56" i="34"/>
  <c r="F50" i="34"/>
  <c r="F49" i="34"/>
  <c r="F47" i="34"/>
  <c r="F46" i="34"/>
  <c r="F44" i="34"/>
  <c r="F43" i="34"/>
  <c r="F42" i="34"/>
  <c r="F41" i="34"/>
  <c r="F40" i="34"/>
  <c r="F37" i="34"/>
  <c r="F36" i="34"/>
  <c r="F35" i="34"/>
  <c r="F33" i="34"/>
  <c r="E29" i="34"/>
  <c r="D29" i="34"/>
  <c r="C16" i="1" s="1"/>
  <c r="F27" i="34"/>
  <c r="F29" i="34" s="1"/>
  <c r="E23" i="34"/>
  <c r="D23" i="34"/>
  <c r="C15" i="1" s="1"/>
  <c r="F21" i="34"/>
  <c r="F23" i="34" s="1"/>
  <c r="E17" i="34"/>
  <c r="D17" i="34"/>
  <c r="F12" i="34"/>
  <c r="H27" i="16"/>
  <c r="E23" i="16"/>
  <c r="E22" i="16"/>
  <c r="E21" i="16"/>
  <c r="F20" i="16"/>
  <c r="E20" i="16" s="1"/>
  <c r="E19" i="16"/>
  <c r="E18" i="16"/>
  <c r="B8" i="16"/>
  <c r="B6" i="16"/>
  <c r="E170" i="19"/>
  <c r="E126" i="19"/>
  <c r="E91" i="19"/>
  <c r="D91" i="19"/>
  <c r="E86" i="19"/>
  <c r="D86" i="19"/>
  <c r="E81" i="19"/>
  <c r="D81" i="19"/>
  <c r="E76" i="19"/>
  <c r="D76" i="19"/>
  <c r="E70" i="19"/>
  <c r="E64" i="19"/>
  <c r="D56" i="19"/>
  <c r="D58" i="19" s="1"/>
  <c r="F26" i="19"/>
  <c r="D13" i="19"/>
  <c r="D20" i="19" s="1"/>
  <c r="A45" i="1"/>
  <c r="E31" i="1"/>
  <c r="E45" i="2"/>
  <c r="F132" i="34" l="1"/>
  <c r="D164" i="19"/>
  <c r="C13" i="40"/>
  <c r="D35" i="19" s="1"/>
  <c r="D103" i="19"/>
  <c r="F22" i="38"/>
  <c r="F24" i="38" s="1"/>
  <c r="E103" i="19"/>
  <c r="F27" i="16"/>
  <c r="C23" i="1"/>
  <c r="F25" i="19"/>
  <c r="B18" i="36"/>
  <c r="B20" i="36" s="1"/>
  <c r="B23" i="36"/>
  <c r="E15" i="1"/>
  <c r="F32" i="23"/>
  <c r="F30" i="23"/>
  <c r="F34" i="23"/>
  <c r="F21" i="47"/>
  <c r="F52" i="23"/>
  <c r="F90" i="34"/>
  <c r="F52" i="34"/>
  <c r="F115" i="34"/>
  <c r="D24" i="46"/>
  <c r="F24" i="46" s="1"/>
  <c r="D41" i="2"/>
  <c r="D41" i="19"/>
  <c r="E37" i="7"/>
  <c r="D37" i="7"/>
  <c r="D18" i="42"/>
  <c r="D21" i="42" s="1"/>
  <c r="D24" i="38"/>
  <c r="E24" i="1"/>
  <c r="E16" i="1"/>
  <c r="E14" i="1"/>
  <c r="D25" i="1"/>
  <c r="E21" i="1"/>
  <c r="F86" i="19"/>
  <c r="F144" i="19"/>
  <c r="C34" i="2"/>
  <c r="F81" i="19"/>
  <c r="F91" i="19"/>
  <c r="F58" i="19"/>
  <c r="F17" i="34"/>
  <c r="E30" i="1"/>
  <c r="E32" i="1" s="1"/>
  <c r="F140" i="34"/>
  <c r="C17" i="1"/>
  <c r="D29" i="31"/>
  <c r="F37" i="7"/>
  <c r="D27" i="39"/>
  <c r="F13" i="19"/>
  <c r="F20" i="19" s="1"/>
  <c r="D170" i="19"/>
  <c r="C37" i="2" s="1"/>
  <c r="F154" i="19"/>
  <c r="F164" i="19" l="1"/>
  <c r="F44" i="19"/>
  <c r="D44" i="19"/>
  <c r="C19" i="2" s="1"/>
  <c r="B24" i="36"/>
  <c r="B25" i="36" s="1"/>
  <c r="B26" i="36" s="1"/>
  <c r="B27" i="36" s="1"/>
  <c r="C23" i="36"/>
  <c r="E44" i="2"/>
  <c r="C24" i="2"/>
  <c r="D17" i="1"/>
  <c r="D36" i="1" s="1"/>
  <c r="D9" i="39"/>
  <c r="C35" i="2"/>
  <c r="C38" i="2" s="1"/>
  <c r="C9" i="40"/>
  <c r="D32" i="19" s="1"/>
  <c r="F32" i="19" s="1"/>
  <c r="C24" i="42"/>
  <c r="C26" i="42" s="1"/>
  <c r="F64" i="19"/>
  <c r="F76" i="19"/>
  <c r="F70" i="19"/>
  <c r="D25" i="47"/>
  <c r="F25" i="47"/>
  <c r="D23" i="47"/>
  <c r="F126" i="19"/>
  <c r="E23" i="1"/>
  <c r="E22" i="1"/>
  <c r="I9" i="41"/>
  <c r="I11" i="41" s="1"/>
  <c r="F28" i="19"/>
  <c r="E17" i="1"/>
  <c r="D27" i="2"/>
  <c r="D29" i="2" s="1"/>
  <c r="E36" i="2"/>
  <c r="E34" i="2"/>
  <c r="E33" i="2"/>
  <c r="C25" i="1"/>
  <c r="C27" i="1" s="1"/>
  <c r="C36" i="1" s="1"/>
  <c r="C46" i="2" s="1"/>
  <c r="C16" i="2"/>
  <c r="B35" i="36" l="1"/>
  <c r="C24" i="36"/>
  <c r="C25" i="36"/>
  <c r="C26" i="36" s="1"/>
  <c r="C27" i="36" s="1"/>
  <c r="F103" i="19"/>
  <c r="D48" i="19"/>
  <c r="C17" i="2"/>
  <c r="D37" i="1"/>
  <c r="D48" i="2"/>
  <c r="D50" i="2" s="1"/>
  <c r="E25" i="1"/>
  <c r="E27" i="1" s="1"/>
  <c r="E36" i="1" s="1"/>
  <c r="C41" i="2"/>
  <c r="E35" i="2"/>
  <c r="E19" i="2"/>
  <c r="E37" i="2"/>
  <c r="C27" i="2"/>
  <c r="E16" i="2"/>
  <c r="E24" i="2"/>
  <c r="C48" i="2"/>
  <c r="C37" i="1"/>
  <c r="E38" i="2" l="1"/>
  <c r="E41" i="2" s="1"/>
  <c r="C50" i="2"/>
  <c r="C12" i="40"/>
  <c r="C14" i="40" s="1"/>
  <c r="D34" i="19"/>
  <c r="D37" i="19" s="1"/>
  <c r="E17" i="2"/>
  <c r="D30" i="39"/>
  <c r="D32" i="39" s="1"/>
  <c r="D51" i="2"/>
  <c r="E26" i="2"/>
  <c r="E27" i="2" s="1"/>
  <c r="E37" i="1"/>
  <c r="E46" i="2"/>
  <c r="E48" i="2" s="1"/>
  <c r="E50" i="2" l="1"/>
  <c r="F37" i="19"/>
  <c r="C18" i="2"/>
  <c r="F43" i="47"/>
  <c r="C16" i="39" s="1"/>
  <c r="D17" i="39" s="1"/>
  <c r="D49" i="19" l="1"/>
  <c r="D51" i="19" s="1"/>
  <c r="D19" i="39"/>
  <c r="E18" i="2"/>
  <c r="F51" i="19" l="1"/>
  <c r="C20" i="2"/>
  <c r="E20" i="2" l="1"/>
  <c r="E21" i="2" s="1"/>
  <c r="C29" i="2"/>
  <c r="C51" i="2" s="1"/>
  <c r="E29" i="2" l="1"/>
  <c r="E51" i="2" s="1"/>
  <c r="D33" i="42"/>
  <c r="D34" i="42" s="1"/>
</calcChain>
</file>

<file path=xl/sharedStrings.xml><?xml version="1.0" encoding="utf-8"?>
<sst xmlns="http://schemas.openxmlformats.org/spreadsheetml/2006/main" count="1440" uniqueCount="907">
  <si>
    <t xml:space="preserve"> </t>
  </si>
  <si>
    <t>FONDO PATRIMONIAL DE LAS EMPRESAS REFORMADAS</t>
  </si>
  <si>
    <t xml:space="preserve">ESTADO DE SITUACIÓN 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</si>
  <si>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</si>
  <si>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</si>
  <si>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</si>
  <si>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</si>
  <si>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</si>
  <si>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</si>
  <si>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</si>
  <si>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</si>
  <si>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</si>
  <si>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</si>
  <si>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</si>
  <si>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</si>
  <si>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</si>
  <si>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</si>
  <si>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</si>
  <si>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</si>
  <si>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</si>
  <si>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</si>
  <si>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</si>
  <si>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</si>
  <si>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</si>
  <si>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</si>
  <si>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</si>
  <si>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</si>
  <si>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</si>
  <si>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</si>
  <si>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</si>
  <si>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</si>
  <si>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</si>
  <si>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</si>
  <si>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</si>
  <si>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</si>
  <si>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</si>
  <si>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</si>
  <si>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</si>
  <si>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</si>
  <si>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</si>
  <si>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</si>
  <si>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</si>
  <si>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</si>
  <si>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</si>
  <si>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</si>
  <si>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</si>
  <si>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</si>
  <si>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</si>
  <si>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</si>
  <si>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</si>
  <si>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</si>
  <si>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</si>
  <si>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</si>
  <si>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</si>
  <si>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</si>
  <si>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</si>
  <si>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</si>
  <si>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</si>
  <si>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</si>
  <si>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</si>
  <si>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</si>
  <si>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</si>
  <si>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</si>
  <si>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</si>
  <si>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</si>
  <si>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</si>
  <si>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</si>
  <si>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</si>
  <si>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</si>
  <si>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</si>
  <si>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</si>
  <si>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</si>
  <si>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-----------------------------------------------------------------------------------------------------------------------</t>
  </si>
  <si>
    <t>TOTAL EFECTIVO EN CAJA Y BANCO</t>
  </si>
  <si>
    <t xml:space="preserve">    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</si>
  <si>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</si>
  <si>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</si>
  <si>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</si>
  <si>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</si>
  <si>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</si>
  <si>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</si>
  <si>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</si>
  <si>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</si>
  <si>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</si>
  <si>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</si>
  <si>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</si>
  <si>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</si>
  <si>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</si>
  <si>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</si>
  <si>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</si>
  <si>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</si>
  <si>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</si>
  <si>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</si>
  <si>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</si>
  <si>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</si>
  <si>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</si>
  <si>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</si>
  <si>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</si>
  <si>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</si>
  <si>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</si>
  <si>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</si>
  <si>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</si>
  <si>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</si>
  <si>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</si>
  <si>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</si>
  <si>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</si>
  <si>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</si>
  <si>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</si>
  <si>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</si>
  <si>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</si>
  <si>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</si>
  <si>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</si>
  <si>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</si>
  <si>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</si>
  <si>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</si>
  <si>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</si>
  <si>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</si>
  <si>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</si>
  <si>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</si>
  <si>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</si>
  <si>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</si>
  <si>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</si>
  <si>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</si>
  <si>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</si>
  <si>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</si>
  <si>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</si>
  <si>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</si>
  <si>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</si>
  <si>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</si>
  <si>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</si>
  <si>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</si>
  <si>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</si>
  <si>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</si>
  <si>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</si>
  <si>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</si>
  <si>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VACACIONES POR PAGAR</t>
  </si>
  <si>
    <t>REGALÍA PASCUAL POR PAGAR</t>
  </si>
  <si>
    <t>TOTAL GASTOS DE PERSONAL POR PAGAR</t>
  </si>
  <si>
    <t>DEDUCCIONES Y RETENCIONES POR PAGAR:</t>
  </si>
  <si>
    <t>RETENCIÓN ITBIS</t>
  </si>
  <si>
    <t>RETENCIÓN CODIA</t>
  </si>
  <si>
    <t>RETENCIÓN FOPETCONS</t>
  </si>
  <si>
    <t>TOTAL DEDUCCIONES Y RETENCIONES POR PAGAR</t>
  </si>
  <si>
    <t>OTRAS CUENTAS POR PAGAR:</t>
  </si>
  <si>
    <t>TOTAL OTRAS CUENTAS POR PAGAR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</si>
  <si>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</si>
  <si>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</si>
  <si>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</si>
  <si>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</si>
  <si>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</si>
  <si>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</si>
  <si>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</si>
  <si>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---------------------------------------------------------------------------------------------------------------------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</si>
  <si>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</si>
  <si>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</si>
  <si>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</si>
  <si>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</si>
  <si>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</si>
  <si>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</si>
  <si>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</si>
  <si>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</si>
  <si>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</si>
  <si>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SUPLENCIAS</t>
  </si>
  <si>
    <t>COMPENSACIÓN POR GASTOS DE ALIMENTOS</t>
  </si>
  <si>
    <t>COMPENSACIÓN POR HORAS EXTRAS</t>
  </si>
  <si>
    <t>PRIMAS DE TRANSPORTE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</si>
  <si>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</si>
  <si>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</si>
  <si>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</si>
  <si>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</si>
  <si>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</si>
  <si>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</si>
  <si>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</si>
  <si>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</si>
  <si>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</si>
  <si>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</si>
  <si>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</si>
  <si>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</si>
  <si>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</si>
  <si>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</si>
  <si>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</si>
  <si>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</si>
  <si>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</si>
  <si>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</si>
  <si>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</si>
  <si>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</si>
  <si>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</si>
  <si>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</si>
  <si>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</si>
  <si>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</si>
  <si>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PASAJES</t>
  </si>
  <si>
    <t>PEAJES</t>
  </si>
  <si>
    <t>ALQUILER MAQUINARIAS Y EQUIPOS DE OFICINAS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</si>
  <si>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</si>
  <si>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</si>
  <si>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</si>
  <si>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</si>
  <si>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</si>
  <si>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</si>
  <si>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OTROS ALQUILERES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</si>
  <si>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</si>
  <si>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</si>
  <si>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</si>
  <si>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</si>
  <si>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</si>
  <si>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</si>
  <si>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</si>
  <si>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</si>
  <si>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</si>
  <si>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SERVICIOS DE LAVANDERIA</t>
  </si>
  <si>
    <t>MEMBRESIA</t>
  </si>
  <si>
    <t>TOTAL SERVICIOS NO PERSONALES</t>
  </si>
  <si>
    <t>MATERIALES Y SUMINISTROS:</t>
  </si>
  <si>
    <t>ALIMENTOS Y BEBIDAS PARA PERSONAS</t>
  </si>
  <si>
    <t>ACABADOS TEXTILES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</si>
  <si>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</si>
  <si>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</si>
  <si>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</si>
  <si>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</si>
  <si>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</si>
  <si>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LLANTAS Y TUBOS</t>
  </si>
  <si>
    <t>ARTÍCULOS DE PLÁSTICO</t>
  </si>
  <si>
    <t>MATERIALES DE LIMPIEZA</t>
  </si>
  <si>
    <t>ÚTILES DE ESCRITORIOS, OFICINAS Y ENSEÑANZA</t>
  </si>
  <si>
    <t>ÚTILES MÉDICOS Y QUIRÚRGICOS</t>
  </si>
  <si>
    <t>ÚTILES DE COCINA Y COMEDOR</t>
  </si>
  <si>
    <t>PRODUCTOS ELÉCTRICOS Y AFINES</t>
  </si>
  <si>
    <t>MATERIALES DE INFORMATICA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</si>
  <si>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</si>
  <si>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</si>
  <si>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</si>
  <si>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</si>
  <si>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</si>
  <si>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</si>
  <si>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TRANSFERENCIAS Y DONACIONES:</t>
  </si>
  <si>
    <t>AYUDAS Y DONACIONES A PERSONAS</t>
  </si>
  <si>
    <t>BECAS Y VIJES DE ESTUDIO</t>
  </si>
  <si>
    <t>TRANSFERENCIA A INSTITUCIONES SIN FINES DE LUCRO</t>
  </si>
  <si>
    <t>TRANSFERENCIA A CORRIENSTES A EMPRESAS PRIVADAS</t>
  </si>
  <si>
    <t>TRANSFERENCIA A CORRIENSTES A LA SEGURIDAD SOCIAL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</si>
  <si>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</si>
  <si>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</si>
  <si>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</si>
  <si>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</si>
  <si>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</si>
  <si>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</si>
  <si>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</si>
  <si>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</si>
  <si>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</si>
  <si>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</si>
  <si>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</si>
  <si>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</si>
  <si>
    <t>Nota</t>
  </si>
  <si>
    <t>PATRIMONIO INSTITUCIONAL</t>
  </si>
  <si>
    <t>Descripción</t>
  </si>
  <si>
    <t>% De</t>
  </si>
  <si>
    <t>Cantidad de</t>
  </si>
  <si>
    <t xml:space="preserve">Total </t>
  </si>
  <si>
    <t>EMPRESA</t>
  </si>
  <si>
    <t>Participación</t>
  </si>
  <si>
    <t>Acciones</t>
  </si>
  <si>
    <t xml:space="preserve">Aporte </t>
  </si>
  <si>
    <t>EGEITABO</t>
  </si>
  <si>
    <t>MOLINOS DEL OZAMA</t>
  </si>
  <si>
    <t>EGEHAINA</t>
  </si>
  <si>
    <t>EDESUR</t>
  </si>
  <si>
    <t>TOTAL INVERSIONES EN PATRIMONIO INSTITUCIONAL</t>
  </si>
  <si>
    <t>NOTA 1</t>
  </si>
  <si>
    <t>Cédula de detalle de cuentas</t>
  </si>
  <si>
    <t>Efectivo en Caja y Banco</t>
  </si>
  <si>
    <t>Tasa de cambio</t>
  </si>
  <si>
    <t>Monto RD$</t>
  </si>
  <si>
    <t>Caja general</t>
  </si>
  <si>
    <t>Caja chica</t>
  </si>
  <si>
    <t>Cuenta corriente operativa RD$</t>
  </si>
  <si>
    <t>Cuenta corriente nómina RD$</t>
  </si>
  <si>
    <t>Cuenta de ahorro en US$, a la par</t>
  </si>
  <si>
    <t>Cuenta de ahorro en US$, prima</t>
  </si>
  <si>
    <t>Condición correcta, con tasa al RD$57.50</t>
  </si>
  <si>
    <t xml:space="preserve"> x 57.50</t>
  </si>
  <si>
    <t>Condición Actual en sistema</t>
  </si>
  <si>
    <t>Corrección necesaria</t>
  </si>
  <si>
    <t>NOTA 2</t>
  </si>
  <si>
    <t>Inversiones a Corto Plazo</t>
  </si>
  <si>
    <t>Monto US$</t>
  </si>
  <si>
    <t>BR - 9606264085</t>
  </si>
  <si>
    <t>BR - 9607363302</t>
  </si>
  <si>
    <t>Total</t>
  </si>
  <si>
    <t>NOTA 3</t>
  </si>
  <si>
    <t>Cuentas por Cobrar</t>
  </si>
  <si>
    <t>Avance contratos de construcción</t>
  </si>
  <si>
    <t>Anticipo en compras</t>
  </si>
  <si>
    <t>Intereses certificados RD$ Banreservas</t>
  </si>
  <si>
    <t>Cuentas por cobrar a empleados</t>
  </si>
  <si>
    <t>Cuentas por cobrar mantenimiento edificio</t>
  </si>
  <si>
    <t>ANÁLISIS BALANCE CUENTA AVANCE CONTRATOS DE CONSTRUCCIÓN</t>
  </si>
  <si>
    <t>BALANCE</t>
  </si>
  <si>
    <t>EJECUTADO</t>
  </si>
  <si>
    <t>ANTERIOR</t>
  </si>
  <si>
    <t>ACTUAL</t>
  </si>
  <si>
    <t>JOSE RAMON MARTINEZ HENRIQUEZ / ROBERT ANTONIO ALMANZAR MERCADO</t>
  </si>
  <si>
    <t>PARQUE ECOLOGICO LAS LAGUNAS</t>
  </si>
  <si>
    <t>P/ CORREGIR BALANCE PROVEEDOR POR DISMINUCION EN PARTIDA DE IMPREVISTOS Y AUMENTO DE ITBIS</t>
  </si>
  <si>
    <t>FELIX MARIA UBIERA SATURRIA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</si>
  <si>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</si>
  <si>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</si>
  <si>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</si>
  <si>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</si>
  <si>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</si>
  <si>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</si>
  <si>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</si>
  <si>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</si>
  <si>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</si>
  <si>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</si>
  <si>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</si>
  <si>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CONSTRUCCION DE UN  DESTACAMENTO POLICIAL EN QUITA CORAZA, BARAHONA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</si>
  <si>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</si>
  <si>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</si>
  <si>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</si>
  <si>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</si>
  <si>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FABIOLA HAYDEE REYES MATOS</t>
  </si>
  <si>
    <t>CONSTRUCCION  DE PANADERIA REPOSTERIA LA CUMBRE, SANTIAGO.</t>
  </si>
  <si>
    <t>TATIANA PUELLO MEDINA</t>
  </si>
  <si>
    <t>CONSTRUCCION DE UN PLAY DE BASEBALL MAMBUICHE, GURABO, SANTIAGO.</t>
  </si>
  <si>
    <t>CAROLINE MANUELA LOPEZ REYES</t>
  </si>
  <si>
    <t>CONSTRUCCION DE (6) VIVIENDAS, TERMINACION DE (3) Y REPARACION DE (1) EN DIFERENTES SECTORES DE SANTIAGO</t>
  </si>
  <si>
    <t>COFEMONT, SRL</t>
  </si>
  <si>
    <t>CONSTR. DE PANADERIA REPOSTERIA LA LEONOR, PARAJE LA LEONOR MUNICIPIO SABANETA, SANTIAGO RODRIGUEZ.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</si>
  <si>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</si>
  <si>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</si>
  <si>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</si>
  <si>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</si>
  <si>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CONSTRUCTORA SOSANMA S.R.L</t>
  </si>
  <si>
    <t>AVANCE EL 20% DEL PROYECTO CONST.(2)VIVIENDAS ECONOMICAS EN DIF. SECTORES D/ PROV.HERMANAS MIRABAL.</t>
  </si>
  <si>
    <t>CONSTRUCCIONES PALOMINO S.R.L</t>
  </si>
  <si>
    <t>AVANCE 20% PARA CONST.ESCALERA EMERGENCIA FONPER SEGUN CONTRATO 2023-38</t>
  </si>
  <si>
    <t>CONSTRUCTORA VIASAN &amp; ASOCIADOS, S.R.L.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</si>
  <si>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</si>
  <si>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</si>
  <si>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</si>
  <si>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</si>
  <si>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</si>
  <si>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GRUPO LUYAN S.R.L</t>
  </si>
  <si>
    <t>TOTAL</t>
  </si>
  <si>
    <t>cuenta no. 1104-01-001</t>
  </si>
  <si>
    <t>Anticipos en Compras</t>
  </si>
  <si>
    <t>FECHA</t>
  </si>
  <si>
    <t>NO. CHEQUE</t>
  </si>
  <si>
    <t>SUPLIDOR</t>
  </si>
  <si>
    <t>VALOR</t>
  </si>
  <si>
    <t>CONCEPTO</t>
  </si>
  <si>
    <t xml:space="preserve">SUIM SUPLIDORES INSTITUCIONALES </t>
  </si>
  <si>
    <t>AVANCE</t>
  </si>
  <si>
    <t>SKETCHPROM, SRL</t>
  </si>
  <si>
    <t>MOTYKA, S.R.L.</t>
  </si>
  <si>
    <t>BORBON TH, SRL</t>
  </si>
  <si>
    <t>BORBÓN TH, S.R.L.</t>
  </si>
  <si>
    <t>CUENTA 1104-01-004</t>
  </si>
  <si>
    <t>Intereses de cuenta Ahorros US$ BR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</si>
  <si>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</si>
  <si>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</si>
  <si>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</si>
  <si>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</si>
  <si>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</si>
  <si>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</si>
  <si>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</si>
  <si>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 xml:space="preserve">NO. DE CUOTAS </t>
  </si>
  <si>
    <t>MONTO DE LA CUOTA</t>
  </si>
  <si>
    <t>MONTO DE LAS CUOTAS DESCONTADAS</t>
  </si>
  <si>
    <t xml:space="preserve">BALANCE CXC </t>
  </si>
  <si>
    <t>001-1231063-6</t>
  </si>
  <si>
    <t>ENCARGADO</t>
  </si>
  <si>
    <t>Cliente</t>
  </si>
  <si>
    <t>Superintendencia de Electricidad</t>
  </si>
  <si>
    <t>Comisión Nacional de Energía</t>
  </si>
  <si>
    <t>Cuenta  1104-02-998-011</t>
  </si>
  <si>
    <t>NOTA 4</t>
  </si>
  <si>
    <t>Existencias Almacén 1</t>
  </si>
  <si>
    <t xml:space="preserve">Grupo 001- útiles de oficina </t>
  </si>
  <si>
    <t>Grupo 023- útiles de oficina poco uso</t>
  </si>
  <si>
    <t xml:space="preserve">Grupo 002- útiles de cocina </t>
  </si>
  <si>
    <t>Grupo 004- útiles de limpieza</t>
  </si>
  <si>
    <t>Grupo 0043- alimentos y bebidas</t>
  </si>
  <si>
    <t>Grupo 0045- cartuchos y tóner</t>
  </si>
  <si>
    <t>Grupo 0042- productos diversos</t>
  </si>
  <si>
    <t>Sub-total existencias Almacén 1</t>
  </si>
  <si>
    <t>Existencias Almacén 2</t>
  </si>
  <si>
    <t>Ebanistería</t>
  </si>
  <si>
    <t>Eléctricos</t>
  </si>
  <si>
    <t>Herramientas</t>
  </si>
  <si>
    <t>Plomería</t>
  </si>
  <si>
    <t>Pintura</t>
  </si>
  <si>
    <t>Papel de embalaje</t>
  </si>
  <si>
    <t>Mota superior</t>
  </si>
  <si>
    <t>Refrigeración</t>
  </si>
  <si>
    <t>Sub-total existencias Almacén 2</t>
  </si>
  <si>
    <t>NOTA 5</t>
  </si>
  <si>
    <t>Gastos pagados por anticipado</t>
  </si>
  <si>
    <t>Seguros de bienes</t>
  </si>
  <si>
    <t>Licencia Microsoft 365</t>
  </si>
  <si>
    <t>Licencia Mesa de Ayuda JIRA</t>
  </si>
  <si>
    <t>Licencia Anti Desastres</t>
  </si>
  <si>
    <t xml:space="preserve">Licencia de Software Adobe 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</si>
  <si>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</si>
  <si>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</si>
  <si>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</si>
  <si>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</si>
  <si>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</si>
  <si>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</si>
  <si>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Pólizas de Seguros de la Institución</t>
  </si>
  <si>
    <t>DESDE EL 31 OCT 2024 HASTA EL 31 OCT 2025</t>
  </si>
  <si>
    <r>
      <t xml:space="preserve">SUPLIDOR DE SERVICIO: </t>
    </r>
    <r>
      <rPr>
        <b/>
        <sz val="12"/>
        <rFont val="Museo Sans 100"/>
        <family val="3"/>
      </rPr>
      <t>QUANTUM</t>
    </r>
  </si>
  <si>
    <r>
      <t xml:space="preserve">ASEGURADORA: </t>
    </r>
    <r>
      <rPr>
        <b/>
        <sz val="12"/>
        <rFont val="Museo Sans 100"/>
        <family val="3"/>
      </rPr>
      <t>SEGUROS BANRESERVAS</t>
    </r>
  </si>
  <si>
    <t>FACTURA</t>
  </si>
  <si>
    <t>NO. PÓLIZA</t>
  </si>
  <si>
    <t>VALOR RD$</t>
  </si>
  <si>
    <t>002914829</t>
  </si>
  <si>
    <t>2-2-502-0278183</t>
  </si>
  <si>
    <t>002893273</t>
  </si>
  <si>
    <t>2-2-201-0061783</t>
  </si>
  <si>
    <t>002893193</t>
  </si>
  <si>
    <t>2-2-801-0047211</t>
  </si>
  <si>
    <t>002893251</t>
  </si>
  <si>
    <t>2-2-815-0013469</t>
  </si>
  <si>
    <t>002893252</t>
  </si>
  <si>
    <t>2-2-812-0013468</t>
  </si>
  <si>
    <t>002914836</t>
  </si>
  <si>
    <t>2-2-503-0278669</t>
  </si>
  <si>
    <t>Menos DESCUENTO</t>
  </si>
  <si>
    <t>PAGO Ck no. 39929, d/f 22-11-2024</t>
  </si>
  <si>
    <t>TOTAL PAGADO</t>
  </si>
  <si>
    <t>GASTO MENSUAL</t>
  </si>
  <si>
    <t>NOVIEMBRE Y DICIEMBRE 2024</t>
  </si>
  <si>
    <t>ENERO - MARZO 2025</t>
  </si>
  <si>
    <t>ABRIL - OCTUBRE 2025</t>
  </si>
  <si>
    <t>AMORTIZACIÓN NOV. / 2024</t>
  </si>
  <si>
    <t>AMORTIZACIÓN DIC. / 2024</t>
  </si>
  <si>
    <t>AMORTIZACIÓN ENERO / 2025</t>
  </si>
  <si>
    <t>AMORTIZACIÓN FEBRERO / 2025</t>
  </si>
  <si>
    <t>AMORTIZACIÓN MARZO / 202</t>
  </si>
  <si>
    <t>AMORTIZACIÓN ABRIL / 2025</t>
  </si>
  <si>
    <t>AMORTIZACIÓN MAYO / 2025</t>
  </si>
  <si>
    <t>AMORTIZACIÓN JUNIO / 2025</t>
  </si>
  <si>
    <t>AMORTIZACIÓN JULIO / 2025</t>
  </si>
  <si>
    <t>AMORTIZACIÓN AGOSTO / 2025</t>
  </si>
  <si>
    <t>AMORTIZACIÓN SEPTIEMBRE / 2025</t>
  </si>
  <si>
    <t>AMORTIZACIÓN OCTUBRE / 2025</t>
  </si>
  <si>
    <t>AMORTIZACIÓN NOVIEMBRE / 2025</t>
  </si>
  <si>
    <t>TOTAL AMORTIZADO</t>
  </si>
  <si>
    <t>BALANCE ACTUAL</t>
  </si>
  <si>
    <t>Licencia de Microsoft 365</t>
  </si>
  <si>
    <r>
      <t xml:space="preserve">SUPLIDOR DE SERVICIO: </t>
    </r>
    <r>
      <rPr>
        <b/>
        <sz val="12"/>
        <rFont val="Museo Sans 100"/>
        <family val="3"/>
      </rPr>
      <t>NEVER OFF TECHNOLOGY</t>
    </r>
  </si>
  <si>
    <t>MICROSOFT OFFICE</t>
  </si>
  <si>
    <t>DURACIÓN</t>
  </si>
  <si>
    <t>LICENCIA MICROSOFT 365</t>
  </si>
  <si>
    <t>1  AÑO</t>
  </si>
  <si>
    <t>DOC. NO.</t>
  </si>
  <si>
    <t>D/F</t>
  </si>
  <si>
    <t>NEVER OFF TECHNOLOGY</t>
  </si>
  <si>
    <t>X  10  =</t>
  </si>
  <si>
    <t>2  MESES</t>
  </si>
  <si>
    <t>X  2  =</t>
  </si>
  <si>
    <t>AMORTIZACIÓN AGO./2024</t>
  </si>
  <si>
    <t>AMORTIZACIÓN FEB./2025</t>
  </si>
  <si>
    <t>DESDE EL 1 AGOSTO 2024 HASTA EL 31 JULIO 2025</t>
  </si>
  <si>
    <r>
      <t xml:space="preserve">SUPLIDOR DE SERVICIO: </t>
    </r>
    <r>
      <rPr>
        <b/>
        <sz val="12"/>
        <rFont val="Museo Sans 100"/>
        <family val="3"/>
      </rPr>
      <t>HISPANIOLA TECHNOLOGY</t>
    </r>
  </si>
  <si>
    <t>MESA DE AYUDA JIRA</t>
  </si>
  <si>
    <t>LICENCIA MESA DE AYUDA JIRA</t>
  </si>
  <si>
    <t>HISPANIOLA TECHNOLOGY</t>
  </si>
  <si>
    <t>FACT NO.  375. CK 39824</t>
  </si>
  <si>
    <t>AGOSTO - DICIEMBRE 2024</t>
  </si>
  <si>
    <t>5  MESES</t>
  </si>
  <si>
    <t>X  5  =</t>
  </si>
  <si>
    <t>ENERO   -   JULIO 2025</t>
  </si>
  <si>
    <t>7  MESES</t>
  </si>
  <si>
    <t>X  7  =</t>
  </si>
  <si>
    <t>AMORTIZACIÓN SEPT/2024</t>
  </si>
  <si>
    <t>AMORTIZACIÓN OCT/2024</t>
  </si>
  <si>
    <t>AMORTIZACIÓN NOV/2024</t>
  </si>
  <si>
    <t>AMORTIZACIÓN DIC/2024</t>
  </si>
  <si>
    <t>AMORTIZACIÓN ENE/2025</t>
  </si>
  <si>
    <t>AMORTIZACIÓN MAR./2025</t>
  </si>
  <si>
    <t>AMORTIZACIÓN ABR./2025</t>
  </si>
  <si>
    <t>AMORTIZACIÓN MAY./2025</t>
  </si>
  <si>
    <t>AMORTIZACIÓN JUN./2025</t>
  </si>
  <si>
    <t>AMORTIZACIÓN JUL./2025</t>
  </si>
  <si>
    <t>LICENCIA ANTI DESASTRES</t>
  </si>
  <si>
    <t>SEPTIEMBRE - DICIEMBRE 2024</t>
  </si>
  <si>
    <t>ENERO   -   AGOSTO 2024</t>
  </si>
  <si>
    <t>X  8  =</t>
  </si>
  <si>
    <t>Licencias ADOBE</t>
  </si>
  <si>
    <t>OC 6475</t>
  </si>
  <si>
    <t>Balance</t>
  </si>
  <si>
    <t>Nota 6</t>
  </si>
  <si>
    <t>Dividendos por Participación en las Empresas Reformadas</t>
  </si>
  <si>
    <t>Detalles</t>
  </si>
  <si>
    <t>EGE Haina</t>
  </si>
  <si>
    <t>Molinos de Ozama</t>
  </si>
  <si>
    <t>Nota 7</t>
  </si>
  <si>
    <t>Avances a Futuras Capitalizaciones</t>
  </si>
  <si>
    <t>Detalle Avances a Futuras Capitalizaciones</t>
  </si>
  <si>
    <t>CHEQUE No.</t>
  </si>
  <si>
    <t>MONTO RD$</t>
  </si>
  <si>
    <t>LA TABACALERA</t>
  </si>
  <si>
    <t>Total RD$</t>
  </si>
  <si>
    <t>TOTAL LA TABACALERA</t>
  </si>
  <si>
    <t>NC 2641</t>
  </si>
  <si>
    <t>NC 2642</t>
  </si>
  <si>
    <t>TOTAL EDEESTE</t>
  </si>
  <si>
    <t>GRAND TOTAL</t>
  </si>
  <si>
    <t>FONDO PATRIMONIAL DE LAS EMP. REFORMADAS</t>
  </si>
  <si>
    <t>SUCURSAL   01</t>
  </si>
  <si>
    <t>FECHA DESDE.</t>
  </si>
  <si>
    <t>FECHA HASTA.</t>
  </si>
  <si>
    <t>BALANCE INICIAL</t>
  </si>
  <si>
    <t>PROVEEDOR     003071     LA TABACALERA, S. A.</t>
  </si>
  <si>
    <t>TIPO MOVI</t>
  </si>
  <si>
    <t>CHEQUE</t>
  </si>
  <si>
    <t>SALDO</t>
  </si>
  <si>
    <t>DEBITO</t>
  </si>
  <si>
    <t>Débito</t>
  </si>
  <si>
    <t>Totales</t>
  </si>
  <si>
    <t>PROVEEDOR    003130   EDEESTE</t>
  </si>
  <si>
    <t>Transf.</t>
  </si>
  <si>
    <t>NOTA 8</t>
  </si>
  <si>
    <t>Mobiliarios y Equipos, Neto</t>
  </si>
  <si>
    <t>Mobiliario y equipos de oficina</t>
  </si>
  <si>
    <t>Armas de fuego</t>
  </si>
  <si>
    <t>Equipos de transporte</t>
  </si>
  <si>
    <t>Total Activos Tangibles</t>
  </si>
  <si>
    <t>Software</t>
  </si>
  <si>
    <t>Total Activos Intangibles</t>
  </si>
  <si>
    <t>Total General</t>
  </si>
  <si>
    <t>Saldo inicial</t>
  </si>
  <si>
    <t>Adiciones</t>
  </si>
  <si>
    <t>Ajustes</t>
  </si>
  <si>
    <t>Retiros</t>
  </si>
  <si>
    <t>Reclasificaciones</t>
  </si>
  <si>
    <t>Total costo de adquisición</t>
  </si>
  <si>
    <t>Depreciación acumulada</t>
  </si>
  <si>
    <t>Cargos del periodo</t>
  </si>
  <si>
    <t>Ajustes y reclasificación</t>
  </si>
  <si>
    <t>Total depreciación acumulada</t>
  </si>
  <si>
    <t>Total Mobiliarios y Equipos, Neto</t>
  </si>
  <si>
    <t>NOTA 9</t>
  </si>
  <si>
    <t xml:space="preserve">Cuentas por pagar </t>
  </si>
  <si>
    <t xml:space="preserve">SERVICIOS GENERALES POR PAGAR </t>
  </si>
  <si>
    <t>JOSE MANUEL VALDES</t>
  </si>
  <si>
    <t>ESKIBEL SANCHEZ</t>
  </si>
  <si>
    <t>COLECTOR DE IMPUESTOS (Retenciones Proveedores ago 24)</t>
  </si>
  <si>
    <t>COLECTOR DE ITBIS (Retenciones Proveedores ago 24)</t>
  </si>
  <si>
    <t>ACUERDOS INTITUCIONALES POR PAGAR</t>
  </si>
  <si>
    <t>INFOTEP</t>
  </si>
  <si>
    <t>NOTA 10</t>
  </si>
  <si>
    <t>Cuentas por pagar Contratistas y Servicios y Honorarios</t>
  </si>
  <si>
    <t>CUENTAS POR PAGAR CONSTRUCCIONES DE INFRAESTRUCTURAS</t>
  </si>
  <si>
    <t>TOTAL CUENTAS POR PAGAR CONTRATISTAS</t>
  </si>
  <si>
    <t>GRUPO LUNYAN, SRL</t>
  </si>
  <si>
    <t>LOURDES YNMACULADA DE OLEO VALENZUELA</t>
  </si>
  <si>
    <t>CESAR ANDRES PICHARDO FERMIN</t>
  </si>
  <si>
    <t>NOTA 11</t>
  </si>
  <si>
    <t>Salarios por pagar</t>
  </si>
  <si>
    <t>Gratificaciones y bonificaciones por pagar</t>
  </si>
  <si>
    <t>Contribución la Seguridad Social por pagar</t>
  </si>
  <si>
    <t>Vacaciones por pagar</t>
  </si>
  <si>
    <t>Regalía pascual por pagar</t>
  </si>
  <si>
    <t>Detalle de Salarios por pagar</t>
  </si>
  <si>
    <t>Pago Dieta del Consejo Administrativo correspondiente a oct 2024</t>
  </si>
  <si>
    <t>Gastos de representación presidente Fonper abril 2024</t>
  </si>
  <si>
    <t>Cálculo de la Provisión de Gratificaciones y Bonificaciones</t>
  </si>
  <si>
    <t>#</t>
  </si>
  <si>
    <t>Conceptos</t>
  </si>
  <si>
    <t>Nómina mensual</t>
  </si>
  <si>
    <t>Total provisión RD$</t>
  </si>
  <si>
    <t>Bono Aniversario (Fijos, Consejo, Militares) (1.0)</t>
  </si>
  <si>
    <t>Bono desempeño Fijos (1.0)</t>
  </si>
  <si>
    <t>Total bonificación anual proyectada</t>
  </si>
  <si>
    <t>Entre 12 meses</t>
  </si>
  <si>
    <t xml:space="preserve">   /  12  =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</si>
  <si>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</si>
  <si>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</si>
  <si>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</si>
  <si>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</si>
  <si>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</si>
  <si>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</si>
  <si>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</si>
  <si>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</si>
  <si>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</si>
  <si>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</si>
  <si>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acumulado</t>
  </si>
  <si>
    <t xml:space="preserve">Enero </t>
  </si>
  <si>
    <t>Cálculo de la provisión de Regalía Navideña</t>
  </si>
  <si>
    <t xml:space="preserve">Militares </t>
  </si>
  <si>
    <t xml:space="preserve">Fijos </t>
  </si>
  <si>
    <t xml:space="preserve">Consejo  </t>
  </si>
  <si>
    <t>Dividido / 12 meses =</t>
  </si>
  <si>
    <t>Provisión mensual</t>
  </si>
  <si>
    <t xml:space="preserve">Febrero </t>
  </si>
  <si>
    <t>NOTA 12</t>
  </si>
  <si>
    <t>Deducciones y Retenciones por pagar</t>
  </si>
  <si>
    <t>Retención impuesto sobre la renta proveedores</t>
  </si>
  <si>
    <t>Retención ITBIS</t>
  </si>
  <si>
    <t>Retención CODIA</t>
  </si>
  <si>
    <t>Retención FOPETCONS</t>
  </si>
  <si>
    <t>Nota 13</t>
  </si>
  <si>
    <t>Otras Cuentas por pagar</t>
  </si>
  <si>
    <t>cambios pendientes en los anexos del sistema</t>
  </si>
  <si>
    <t>orden de las columnas</t>
  </si>
  <si>
    <t>separar el certificado del banco agricola de las inversion en accion</t>
  </si>
  <si>
    <t>cambiar inventario por almacen de suministros e inventario de suministros</t>
  </si>
  <si>
    <t>cambiar la numeración de las notas</t>
  </si>
  <si>
    <t>poner una columna para las notas</t>
  </si>
  <si>
    <t>crear nota del capital institucional</t>
  </si>
  <si>
    <t>cambiar contrato de construccion por avance a contratista</t>
  </si>
  <si>
    <t>cambiar nombre de las columnas mes actual mes anteriror variacion / acumulado mes actual acumulado mes anterior</t>
  </si>
  <si>
    <t>cambiar partidas por cobrar por cuentas por cobrar</t>
  </si>
  <si>
    <t>donde dice intereses por cobar banco agricola esta mal escrito</t>
  </si>
  <si>
    <t xml:space="preserve">total de activo por total total propieda planta y equipo neto </t>
  </si>
  <si>
    <t>cambiar cerificado banco agricola por deposito a plazos (banco agricola)</t>
  </si>
  <si>
    <t xml:space="preserve">buscar notas hecha en excel para referencia </t>
  </si>
  <si>
    <t xml:space="preserve">AVANCE 20% PARA INICIAR PROYECTO DE REESTRUCTURACION SISTEMA DE AGUA Y AMPLIACION CUARTO DE BMBA DEL FONPER. </t>
  </si>
  <si>
    <t>AVANCE 20% PARA SUMINISTRO E INSTALACION LONA ASFALTICA Y FINO D TECHO AL EDIFICIO KASSE ACTA</t>
  </si>
  <si>
    <t>AVANCE 20% P/REALIZAR TRABAJOS PROY.CONST.DEL COMEDOR, ALMACEN, GARITA, BAÑO D/SEGURIDAD, EDIF.  FONPER</t>
  </si>
  <si>
    <t>AMORTIZACIÓN AGO./2025</t>
  </si>
  <si>
    <t xml:space="preserve">CONTROL DE VACACIONES </t>
  </si>
  <si>
    <t xml:space="preserve">DÍAS 
PENDIENTES </t>
  </si>
  <si>
    <t>SALARIO</t>
  </si>
  <si>
    <t>SALARIO PROMEDIO</t>
  </si>
  <si>
    <t xml:space="preserve">Total a Disfrutar </t>
  </si>
  <si>
    <t>AIDA VICTORIA PARDILLA MARTINEZ</t>
  </si>
  <si>
    <t>ENCARGADA</t>
  </si>
  <si>
    <t>ADMINISTRADOR DE SERVICIOS TIC</t>
  </si>
  <si>
    <t>ANA ILDA NUÑEZ BATISTA</t>
  </si>
  <si>
    <t>ANALISTA DE GESTIÓN PATRIMONIAL II</t>
  </si>
  <si>
    <t>ANALISTA</t>
  </si>
  <si>
    <t>CARLOS JOSE RIVAS GARCIA</t>
  </si>
  <si>
    <t>CARLOS JULIO SUBERVI CARRASCO</t>
  </si>
  <si>
    <t>CARMEN JULIA PEREZ FERNANDEZ</t>
  </si>
  <si>
    <t>CONSERJE</t>
  </si>
  <si>
    <t>CLAUDIO ALBERTO MARTE MERCEDES</t>
  </si>
  <si>
    <t>DANIA RODRIGUEZ RODRIGUEZ</t>
  </si>
  <si>
    <t>DESIREE MARIN GARCIA</t>
  </si>
  <si>
    <t>COORDINADORA</t>
  </si>
  <si>
    <t>DIONICIO EMILIO GUERRERO PEREZ</t>
  </si>
  <si>
    <t>DOMINGO ALBERTO RODRIGUEZ</t>
  </si>
  <si>
    <t>CHOFER</t>
  </si>
  <si>
    <t>COORDINADOR</t>
  </si>
  <si>
    <t>AUXILIAR ADMINISTRATIVO</t>
  </si>
  <si>
    <t>EDWARD ALEXANDER AQUINO ALMONTE</t>
  </si>
  <si>
    <t>SOPORTE TECNICO</t>
  </si>
  <si>
    <t>ELIN ALBERTO PENA GERMAN</t>
  </si>
  <si>
    <t>ADMINISTRADOR DE OPERACIONES TIC</t>
  </si>
  <si>
    <t>ESKIBEL JAVIER SANCHEZ VIDAL</t>
  </si>
  <si>
    <t>EVANGELISTA EUGENIA PEREZ DE LOS SANTOS</t>
  </si>
  <si>
    <t>COORDINADOR (A) ADMINISTRATIVO</t>
  </si>
  <si>
    <t>FRANCIS GISELLE BUSSI INOA</t>
  </si>
  <si>
    <t>COORDINADOR (A) DE ARQUITECTURA</t>
  </si>
  <si>
    <t>FRANSER DESIREE SOLIS DE LUNA</t>
  </si>
  <si>
    <t>FREDDY JOSE PEREYRA  ALBERTO</t>
  </si>
  <si>
    <t>FREDDY RADHAMES RODRIGUEZ DIAZ</t>
  </si>
  <si>
    <t>TÉCNICO ADMINISTRATIVO</t>
  </si>
  <si>
    <t>ILEANA SOLANYI MEDINA PERALTA</t>
  </si>
  <si>
    <t>MENSAJERA INTERNA</t>
  </si>
  <si>
    <t>ISMAEL VALENTIN PENA SANTOS</t>
  </si>
  <si>
    <t>MENSAJERO EXTERNO</t>
  </si>
  <si>
    <t>ANALISTA INFORMÁTICO</t>
  </si>
  <si>
    <t>PRESIDENTE</t>
  </si>
  <si>
    <t>JOSE MANUEL VALDEZ</t>
  </si>
  <si>
    <t>SUPERVISOR DE TRANSPORTACIÓN</t>
  </si>
  <si>
    <t>VICE-PRESIDENTE</t>
  </si>
  <si>
    <t>RELACIONISTA PUBLICO</t>
  </si>
  <si>
    <t>LELIA MARCELL MENDOZA LORA</t>
  </si>
  <si>
    <t>LEON ALTAGRACIA GOMEZ DIAZ</t>
  </si>
  <si>
    <t>ASESOR</t>
  </si>
  <si>
    <t>LICET IVANA BELTRE VALERA</t>
  </si>
  <si>
    <t>LISBET RODRIGUEZ GUZMAN</t>
  </si>
  <si>
    <t>LUIS ALFREDO FUCHU ARTILES</t>
  </si>
  <si>
    <t>LUIS ANTONIO MOQUETE PELLETIER</t>
  </si>
  <si>
    <t>DIRECTORA</t>
  </si>
  <si>
    <t>MARTHA ARELYS BEATO ABREU</t>
  </si>
  <si>
    <t>MAYRUBI LAZARO VALENZUELA</t>
  </si>
  <si>
    <t>MARINO ACOSTA GUANTE</t>
  </si>
  <si>
    <t>MERCEDES IVELICES GUZMAN VALERIO</t>
  </si>
  <si>
    <t>MIGUEL ALFONSO DE LA ROSA  ARIAS</t>
  </si>
  <si>
    <t>NADIA ROSA MARIA BAEZ LOPEZ</t>
  </si>
  <si>
    <t>NATHALI ROCIO RIVERA ORTIZ</t>
  </si>
  <si>
    <t>RECEPCIONISTA</t>
  </si>
  <si>
    <t>NICOLLE HARVEY PICHARDO</t>
  </si>
  <si>
    <t>NIKAURY ARACENA MEJIA</t>
  </si>
  <si>
    <t>NYSA MARIA FERREIRA BALBI</t>
  </si>
  <si>
    <t>OLIVER SORIANO OVIEDO</t>
  </si>
  <si>
    <t>INGENIERO DE ESTRUCTURA</t>
  </si>
  <si>
    <t>OMAR DE JESUS COHEN SANDER</t>
  </si>
  <si>
    <t>OSVALDO PEREZ PIMENTEL</t>
  </si>
  <si>
    <t>PEDRO DANIEL ESQUEA MONTILLA</t>
  </si>
  <si>
    <t>RAFAEL EDUARDO RAMIREZ ISIDOR</t>
  </si>
  <si>
    <t>RICHARD RAMON MEJIA MENDOZA</t>
  </si>
  <si>
    <t>AUXILIAR DE SUMINISTRO</t>
  </si>
  <si>
    <t>ROSSY LISVERY VOLQUEZ PEREZ</t>
  </si>
  <si>
    <t>RUBEN DARIO ALMONTE MATEO</t>
  </si>
  <si>
    <t>SALVADOR YGNACIO RICOURT GOMEZ</t>
  </si>
  <si>
    <t>DIRECTOR</t>
  </si>
  <si>
    <t>SAMUEL JUNIOR ULLOA MARIANO</t>
  </si>
  <si>
    <t>SARITA MARTINEZ FROMETA</t>
  </si>
  <si>
    <t>SHANTAL MARIEL BAUTISTA PERREAUX</t>
  </si>
  <si>
    <t>COORDINADOR (A) DE INGENIERIA</t>
  </si>
  <si>
    <t>SOMNE ALTAGRACIA BAEZ TRINIDAD</t>
  </si>
  <si>
    <t>TOMAS AUGUSTO MENDOZA TORRES</t>
  </si>
  <si>
    <t>ABOGADO III</t>
  </si>
  <si>
    <t>VERONICA POLANCO REYNOSO</t>
  </si>
  <si>
    <t>WINSTON POLANCO ROBLES</t>
  </si>
  <si>
    <t>YANCARLOS HERNANDEZ ENCARNACION</t>
  </si>
  <si>
    <t>YANIL STEFANY MEJIA PIMENTEL</t>
  </si>
  <si>
    <t>AMORTIZACIÓN AGO/2024</t>
  </si>
  <si>
    <t>Diciembre (ajuste)</t>
  </si>
  <si>
    <t>COMPAÑÍA DOMINICANA DE TELEFONOS</t>
  </si>
  <si>
    <t>PLANTA FISICA PINERA SRL</t>
  </si>
  <si>
    <t>FACT NO.  5631. CK 39845</t>
  </si>
  <si>
    <r>
      <t xml:space="preserve">CONSTRUCCION LOTE #14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</si>
  <si>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</si>
  <si>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Museo Sans 500"/>
        <family val="3"/>
      </rPr>
      <t>240 VIVIENDAS</t>
    </r>
  </si>
  <si>
    <t>Año 2025</t>
  </si>
  <si>
    <t>COLABORADORES AÑO 2025</t>
  </si>
  <si>
    <t>NOMBRE/APELLIDO</t>
  </si>
  <si>
    <t>Dias 2025</t>
  </si>
  <si>
    <t>Diciembre</t>
  </si>
  <si>
    <t>Dias pendiente a disfrutar 2025</t>
  </si>
  <si>
    <t>Ajuste pendiente</t>
  </si>
  <si>
    <t>Cada mes, en el 2025 será de</t>
  </si>
  <si>
    <t>Bonos a las secretarias</t>
  </si>
  <si>
    <t>Madres</t>
  </si>
  <si>
    <t>Padres</t>
  </si>
  <si>
    <t>Bono Navidad Fijos  (3.0)</t>
  </si>
  <si>
    <t>Bono Navidad Consejo  (3.0)</t>
  </si>
  <si>
    <t>Bono navidad militares (3)</t>
  </si>
  <si>
    <t>EDDY DOMINGUEZ</t>
  </si>
  <si>
    <t>REFRIASU LOGÍSTIC AND CONSTRUCTION, SRL</t>
  </si>
  <si>
    <t>BR - 9607919039</t>
  </si>
  <si>
    <t>Grupo 0008- Donaciones</t>
  </si>
  <si>
    <t>Material gastable</t>
  </si>
  <si>
    <t>Cuenta 1205</t>
  </si>
  <si>
    <t>Grupo 0011 - Otros</t>
  </si>
  <si>
    <t>Grupo 0014 - Materiales de decoración</t>
  </si>
  <si>
    <t>Grupo 005 - Eléctricos</t>
  </si>
  <si>
    <t>Grupo 003- Activo</t>
  </si>
  <si>
    <t>Grupo 002- Activo</t>
  </si>
  <si>
    <t>VIÁTICOS VIAJES A LA TABACALERA, S. A.</t>
  </si>
  <si>
    <t>Total de Licencias</t>
  </si>
  <si>
    <t>Licencias:</t>
  </si>
  <si>
    <t>DIES TRADING, SRL</t>
  </si>
  <si>
    <t>FRANCISCO AQUINO Y ASOCIADOS, SRL</t>
  </si>
  <si>
    <t>COMPENSACION COMBUSTIBLE POR PAGAR</t>
  </si>
  <si>
    <t xml:space="preserve">Monto </t>
  </si>
  <si>
    <t>TRANSFERENCIA A OTRAS INSTITUCIONES PUBLICAS</t>
  </si>
  <si>
    <t>MEM-DERS - Ene - Dic 2025</t>
  </si>
  <si>
    <t>EGE PUNTA CATALINA</t>
  </si>
  <si>
    <t>CERTIFICADOS FINANCIEROS EN BANCO DE RESERVAS</t>
  </si>
  <si>
    <t>CERTIFICADOS FINANCIEROS EN BANCO DE RESERVAS DÓLARES A LA PAR</t>
  </si>
  <si>
    <t>CERTIFICADOS FINANCIEROS EN BANCO DE RESERVAS DÓLARES PRIMA</t>
  </si>
  <si>
    <t>PARTICIPACIÓN EN PUNTA CATALINA, NETO</t>
  </si>
  <si>
    <t>PARTICIPACIÓN EN EMPRESA DE GENERACIÓN ELÉCTRICA PUNTA CATALINA</t>
  </si>
  <si>
    <t>PARTICIPACIÓN EN OFICINA METROPOLITANA SERVICIOS DE AUTOBUSES (OMSA)</t>
  </si>
  <si>
    <t>PARTICIPACIÓN EN OMSA, NETO</t>
  </si>
  <si>
    <t>CUENTAS POR PAGAR COMBUSTIBLE</t>
  </si>
  <si>
    <t>CONTRIBUCIÓN A LA SEGURIDAD SOCIAL POR PAGAR</t>
  </si>
  <si>
    <t>RETENCIÓN IMPUESTO S/RENTA EMPLEADOS</t>
  </si>
  <si>
    <t>RETENCIÓN IMPUESTO S/RENTA PROVEEDORES</t>
  </si>
  <si>
    <t>INGRESO POR PARTICIPACIÓN EMPRESA PUNTA CATALINA</t>
  </si>
  <si>
    <t>Total pasivos corrientes</t>
  </si>
  <si>
    <t>EMPRESA DE GENERACIÓN ELÉCTRICA PUNTA CATALINA</t>
  </si>
  <si>
    <t>OFICINA METROPOLITANA DE SERVICIOS DE AUTOBUSES (OMSA)</t>
  </si>
  <si>
    <t>Mes</t>
  </si>
  <si>
    <t>Acumulado RD$</t>
  </si>
  <si>
    <t>Bono Escolar</t>
  </si>
  <si>
    <t>DESDE EL 1 MARZO 2025 HASTA EL 28 FEBRERO 2026</t>
  </si>
  <si>
    <r>
      <t>SUPLIDOR DE SERVICIO: D</t>
    </r>
    <r>
      <rPr>
        <b/>
        <sz val="12"/>
        <rFont val="Museo Sans 100"/>
        <family val="3"/>
      </rPr>
      <t>OMINET, SRL</t>
    </r>
  </si>
  <si>
    <t>LICENCIAS ADOBE</t>
  </si>
  <si>
    <t>Licencias de Software ADOBE</t>
  </si>
  <si>
    <t>DOMINET, SRL</t>
  </si>
  <si>
    <t>FACT # 00446</t>
  </si>
  <si>
    <t>MARZO - DICIEMBRE 2025</t>
  </si>
  <si>
    <t>10 MESES</t>
  </si>
  <si>
    <t>ENERO   -  FEBRERO 2026</t>
  </si>
  <si>
    <t>AMORTIZACIÓN MARZ/2025</t>
  </si>
  <si>
    <t>AMORTIZACIÓN ABR/2025</t>
  </si>
  <si>
    <t>AMORTIZACIÓN MAY/2025</t>
  </si>
  <si>
    <t>AMORTIZACIÓN JUN/2025</t>
  </si>
  <si>
    <t>AMORTIZACIÓN JUL/2025</t>
  </si>
  <si>
    <t>AMORTIZACIÓN AGO/2025</t>
  </si>
  <si>
    <t>AMORTIZACIÓN SEPT/2025</t>
  </si>
  <si>
    <t>AMORTIZACIÓN OCT/2025</t>
  </si>
  <si>
    <t>AMORTIZACIÓN NOV/2025</t>
  </si>
  <si>
    <t>AMORTIZACIÓN DIC/2025</t>
  </si>
  <si>
    <t>AMORTIZACIÓN ENE/2026</t>
  </si>
  <si>
    <t>AMORTIZACIÓN FEB/2026</t>
  </si>
  <si>
    <t>Marz-2025</t>
  </si>
  <si>
    <t>CK. NO.</t>
  </si>
  <si>
    <t xml:space="preserve">Contabilidad </t>
  </si>
  <si>
    <t>Diferencia</t>
  </si>
  <si>
    <t>Otros</t>
  </si>
  <si>
    <t>Activos</t>
  </si>
  <si>
    <t>EDWIN JIMENEZ</t>
  </si>
  <si>
    <t>SILVIO JOSE PEREZ</t>
  </si>
  <si>
    <t>ALCE ODELL CACERES LEREBOURS</t>
  </si>
  <si>
    <t>ALEXANDER RAMIREZ SANTOS</t>
  </si>
  <si>
    <t>ANASTASIA ROSAURA  A AVILA UBRI</t>
  </si>
  <si>
    <t>CELIA MASSIEL CUEVAS JIMENEZ</t>
  </si>
  <si>
    <t>DIANA JOSEFINA ROSARIO POLANCO</t>
  </si>
  <si>
    <t>EDDY MIGUEL DOMINGUEZ LINARES</t>
  </si>
  <si>
    <t>EDGAR MOISES DUME PEPEN</t>
  </si>
  <si>
    <t>EDILI DAYELIS RAMIREZ RODRIGUEZ</t>
  </si>
  <si>
    <t>EDWIN JOHANNY JIMENEZ MARTINEZ</t>
  </si>
  <si>
    <t>FRANCISCA SANCHEZ DE SANCHEZ</t>
  </si>
  <si>
    <t>FREILYN LIZETH PEREZ DIAZ</t>
  </si>
  <si>
    <t>GERMAINE DANIELLE GAZON ROSARIO</t>
  </si>
  <si>
    <t>JESUS OMAR SANCHEZ TRINIDAD</t>
  </si>
  <si>
    <t>JORGE LUIS MATEO CASTILLO</t>
  </si>
  <si>
    <t>JOSE ANTONIO ALMONTE MARTE</t>
  </si>
  <si>
    <t>JOSE EURIPIDES FLORENTINO RODRIGUEZ</t>
  </si>
  <si>
    <t>JOSEFINA MERCEDES VEGA DE MONTES</t>
  </si>
  <si>
    <t>JUAN SANTANA HERNANDEZ</t>
  </si>
  <si>
    <t>LADY MARGARET ESPINAL ROMERO</t>
  </si>
  <si>
    <t>LEWIS ANTONIO MEDRANO MORLA</t>
  </si>
  <si>
    <t>TÉCNICO DE SERVICIOS GENERALES</t>
  </si>
  <si>
    <t>MARGARET RAMIREZ BAEZ</t>
  </si>
  <si>
    <t>MARLENY ALTAGRACIA MEDRANO RODRIGUEZ</t>
  </si>
  <si>
    <t>MASSIEL MEJIA GONZALEZ</t>
  </si>
  <si>
    <t>MAXIMO AUGUSTO PERALTA MOREL</t>
  </si>
  <si>
    <t>MILAGROS NAZARET PEREZ ROMERO</t>
  </si>
  <si>
    <t>ABOGADO II</t>
  </si>
  <si>
    <t>NIVIA CLARIBEL QUEZADA FELIZ DE PEÑA</t>
  </si>
  <si>
    <t>TÉCNICO DE RECURSOS HUMANOS</t>
  </si>
  <si>
    <t>ODALIS MARTE RODRIGUEZ</t>
  </si>
  <si>
    <t>COORDINADOR (A) DE GESTION PATRIMONIAL</t>
  </si>
  <si>
    <t>ROSA ANTONIA PEREZ HEREDIA</t>
  </si>
  <si>
    <t>RUDDY LANI GARCIA ALCANTARA</t>
  </si>
  <si>
    <t>SILVIO JOSE PEREZ VALDEZ</t>
  </si>
  <si>
    <t>WILKIN BERNAN MATEO MATEO</t>
  </si>
  <si>
    <t>LAVADOR VEHICULOS</t>
  </si>
  <si>
    <t>ACUERDOS INTERINSTITUCIONALES</t>
  </si>
  <si>
    <t>MEM - DERS</t>
  </si>
  <si>
    <t>Impuestos sobre la renta empleados - febrero 2025</t>
  </si>
  <si>
    <t>Contribución a la Seguridad Social - marzo 2025</t>
  </si>
  <si>
    <t>Retenciones pendientes</t>
  </si>
  <si>
    <t>Contribución a la Seguridad Social por pagar</t>
  </si>
  <si>
    <t>OC #6654, FACT NO. 01-001176</t>
  </si>
  <si>
    <t>ABRIL  -   DICIEMBRE 2025</t>
  </si>
  <si>
    <t>ENERO   -   MARZO 2026</t>
  </si>
  <si>
    <t>X  9  =</t>
  </si>
  <si>
    <t>X  3  =</t>
  </si>
  <si>
    <t>3  MESES</t>
  </si>
  <si>
    <t>9  MESES</t>
  </si>
  <si>
    <t>AMORTIZACIÓN SEP./2025</t>
  </si>
  <si>
    <t>AMORTIZACIÓN OCT./2025</t>
  </si>
  <si>
    <t>AMORTIZACIÓN NOV./2025</t>
  </si>
  <si>
    <t>AMORTIZACIÓN DIC./2025</t>
  </si>
  <si>
    <t>AMORTIZACIÓN ENE./2026</t>
  </si>
  <si>
    <t>AMORTIZACIÓN FEB./2026</t>
  </si>
  <si>
    <t>AMORTIZACIÓN MAR/2026</t>
  </si>
  <si>
    <t>DESDE EL 11 DE ABRIL 2025 HASTA EL 31 MARZO 2026</t>
  </si>
  <si>
    <r>
      <t xml:space="preserve">SUPLIDOR DE SERVICIO: </t>
    </r>
    <r>
      <rPr>
        <b/>
        <sz val="12"/>
        <rFont val="Museo Sans 100"/>
        <family val="3"/>
      </rPr>
      <t>WST SOLUTION</t>
    </r>
  </si>
  <si>
    <t>LICENCIA ALDABA Y LINKEDIN</t>
  </si>
  <si>
    <t>ALDA Y LINKEDIN</t>
  </si>
  <si>
    <t>WST SOLUTIOS, SRL</t>
  </si>
  <si>
    <t>OC #...., FACT NO. 2025-012</t>
  </si>
  <si>
    <t>Licencia Aldaba y Linkedin</t>
  </si>
  <si>
    <t>Abril 2025</t>
  </si>
  <si>
    <t>ISMAEL PEÑA</t>
  </si>
  <si>
    <t>PROOCITROM, SRL</t>
  </si>
  <si>
    <t>NC-29835</t>
  </si>
  <si>
    <t>CK 40056</t>
  </si>
  <si>
    <t>CK 40055</t>
  </si>
  <si>
    <t>TOTAL EDENORTE</t>
  </si>
  <si>
    <t>MP UNIFORMES DE EMPRESAS, SRL</t>
  </si>
  <si>
    <t>PHIFCET, SRL</t>
  </si>
  <si>
    <t>Compensación almuerzo militares seguridad 2da quincena abril 2025</t>
  </si>
  <si>
    <t>MIGUEL A. TRINIDAD</t>
  </si>
  <si>
    <t>SANTIAGO AYBAR CAMPOS</t>
  </si>
  <si>
    <t>WINSTON POLANCO R.</t>
  </si>
  <si>
    <t>HENRY MORENO BREA</t>
  </si>
  <si>
    <t>JOHENNY MAÑON</t>
  </si>
  <si>
    <t>CUENTAS POR PAGAR POR RETENCIONES</t>
  </si>
  <si>
    <t>INVERSIONES FINANCIERAS A CORTO PLAZO:</t>
  </si>
  <si>
    <t>AL 31 DE MAYO DEL 2025</t>
  </si>
  <si>
    <t>Mayo 2025</t>
  </si>
  <si>
    <t>Considerado en mayo 25</t>
  </si>
  <si>
    <t>LABOQUIDOM</t>
  </si>
  <si>
    <t>Ck 40063 y ND 4899</t>
  </si>
  <si>
    <t>AUTOCAMIONES, S. A.</t>
  </si>
  <si>
    <t>TROPIGAS DOMINICANA, SRL</t>
  </si>
  <si>
    <t>OBELCA, SRL</t>
  </si>
  <si>
    <t>EXPERT CLEANER SQE, SER</t>
  </si>
  <si>
    <t>PPS PEST PROTECT SOLUTION</t>
  </si>
  <si>
    <t>SUPLIMADE COMERCIAL, SRL</t>
  </si>
  <si>
    <t>CRISTOBAL RODRIGUEZ GOMEZ</t>
  </si>
  <si>
    <t>OLIVER SORIANO</t>
  </si>
  <si>
    <t>EUGENIA PEREZ DE LOS SANTOS</t>
  </si>
  <si>
    <t>ENCARGADO CORRESPONDENCIA Y ARCH</t>
  </si>
  <si>
    <t xml:space="preserve">  / 12 =</t>
  </si>
  <si>
    <t>SANCHTE CONSTRUCTION AND BUILDING</t>
  </si>
  <si>
    <t>COOPARRIBA</t>
  </si>
  <si>
    <t>TECNAS  E.I.R.L</t>
  </si>
  <si>
    <t>Retención impuesto sobre la renta empleados (mayo)</t>
  </si>
  <si>
    <t>INCENTIVO PARA GASTOS FUNEBRES</t>
  </si>
  <si>
    <t>Compensación horas extras mayo 2025</t>
  </si>
  <si>
    <t>Compensación almuerzo a militares mayo 2025</t>
  </si>
  <si>
    <t>Compensación almuerzo a empleados fijos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</si>
</sst>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  <numFmt numFmtId="175" formatCode="_(* #,##0.000000_);_(* \(#,##0.000000\);_(* &quot;-&quot;??_);_(@_)"/>
    <numFmt numFmtId="176" formatCode="_(* #,##0.000000000_);_(* \(#,##0.000000000\);_(* &quot;-&quot;??_);_(@_)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  <font>
      <sz val="10"/>
      <name val="Museo Sans 100"/>
      <family val="3"/>
    </font>
    <font>
      <sz val="12"/>
      <color theme="1"/>
      <name val="Museo Sans 100"/>
      <family val="3"/>
    </font>
    <font>
      <sz val="12"/>
      <color theme="2" tint="-0.499984740745262"/>
      <name val="Museo Sans 100"/>
      <family val="3"/>
    </font>
    <font>
      <b/>
      <sz val="12"/>
      <color theme="1"/>
      <name val="Museo Sans 100"/>
      <family val="3"/>
    </font>
    <font>
      <b/>
      <i/>
      <sz val="12"/>
      <name val="Museo Sans 100"/>
      <family val="3"/>
    </font>
    <font>
      <u val="singleAccounting"/>
      <sz val="12"/>
      <name val="Museo Sans 100"/>
      <family val="3"/>
    </font>
    <font>
      <b/>
      <u val="doubleAccounting"/>
      <sz val="12"/>
      <name val="Museo Sans 100"/>
      <family val="3"/>
    </font>
    <font>
      <u val="singleAccounting"/>
      <sz val="12"/>
      <color theme="1"/>
      <name val="Museo Sans 100"/>
      <family val="3"/>
    </font>
    <font>
      <b/>
      <u val="doubleAccounting"/>
      <sz val="12"/>
      <color theme="1"/>
      <name val="Museo Sans 100"/>
      <family val="3"/>
    </font>
    <font>
      <sz val="11"/>
      <name val="Museo Sans 100"/>
      <family val="3"/>
    </font>
    <font>
      <sz val="9"/>
      <name val="Museo Sans 100"/>
      <family val="3"/>
    </font>
    <font>
      <b/>
      <sz val="12"/>
      <color rgb="FFFF0000"/>
      <name val="Museo Sans 100"/>
      <family val="3"/>
    </font>
    <font>
      <u/>
      <sz val="12"/>
      <color theme="1"/>
      <name val="Museo Sans 100"/>
      <family val="3"/>
    </font>
    <font>
      <b/>
      <u val="double"/>
      <sz val="12"/>
      <name val="Museo Sans 100"/>
      <family val="3"/>
    </font>
    <font>
      <u val="doubleAccounting"/>
      <sz val="12"/>
      <color theme="1"/>
      <name val="Museo Sans 100"/>
      <family val="3"/>
    </font>
    <font>
      <b/>
      <sz val="14"/>
      <color rgb="FFFF0000"/>
      <name val="Museo Sans 100"/>
      <family val="3"/>
    </font>
    <font>
      <u val="singleAccounting"/>
      <sz val="12"/>
      <color rgb="FFFF0000"/>
      <name val="Museo Sans 100"/>
      <family val="3"/>
    </font>
    <font>
      <i/>
      <sz val="11"/>
      <name val="Museo Sans 100"/>
      <family val="3"/>
    </font>
    <font>
      <b/>
      <sz val="8"/>
      <name val="Museo Sans 100"/>
      <family val="3"/>
    </font>
    <font>
      <b/>
      <u/>
      <sz val="12"/>
      <name val="Museo Sans 100"/>
      <family val="3"/>
    </font>
    <font>
      <b/>
      <sz val="11"/>
      <name val="Museo Sans 100"/>
      <family val="3"/>
    </font>
    <font>
      <b/>
      <i/>
      <sz val="12"/>
      <color rgb="FFFF0000"/>
      <name val="Museo Sans 100"/>
      <family val="3"/>
    </font>
    <font>
      <b/>
      <u/>
      <sz val="12"/>
      <color theme="1"/>
      <name val="Museo Sans 100"/>
      <family val="3"/>
    </font>
    <font>
      <u/>
      <sz val="10"/>
      <color theme="10"/>
      <name val="Arial"/>
      <family val="2"/>
    </font>
    <font>
      <sz val="11"/>
      <name val="Aptos"/>
      <family val="2"/>
    </font>
    <font>
      <u/>
      <sz val="12"/>
      <name val="Museo Sans 100"/>
      <family val="3"/>
    </font>
    <font>
      <b/>
      <u val="singleAccounting"/>
      <sz val="12"/>
      <color theme="1"/>
      <name val="Museo Sans 100"/>
      <family val="3"/>
    </font>
    <font>
      <sz val="8"/>
      <name val="Museo Sans 100"/>
      <family val="3"/>
    </font>
    <font>
      <b/>
      <sz val="11"/>
      <color rgb="FFFF0000"/>
      <name val="Museo Sans 100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Museo Sans 100"/>
      <family val="3"/>
    </font>
    <font>
      <b/>
      <u/>
      <sz val="11"/>
      <name val="Museo Sans 100"/>
      <family val="3"/>
    </font>
    <font>
      <i/>
      <u/>
      <sz val="8"/>
      <color rgb="FFFF0000"/>
      <name val="Museo Sans 100"/>
      <family val="3"/>
    </font>
    <font>
      <u/>
      <sz val="11"/>
      <name val="Museo Sans 100"/>
      <family val="3"/>
    </font>
    <font>
      <b/>
      <u val="double"/>
      <sz val="11"/>
      <name val="Museo Sans 100"/>
      <family val="3"/>
    </font>
    <font>
      <b/>
      <sz val="10"/>
      <name val="Museo Sans 100"/>
      <family val="3"/>
    </font>
    <font>
      <sz val="11"/>
      <color indexed="8"/>
      <name val="Calibri"/>
      <family val="2"/>
      <scheme val="minor"/>
    </font>
    <font>
      <sz val="12"/>
      <color rgb="FF000000"/>
      <name val="Museo Sans 100"/>
      <family val="3"/>
    </font>
    <font>
      <sz val="14"/>
      <color rgb="FF000000"/>
      <name val="Museo Sans 100"/>
      <family val="3"/>
    </font>
    <font>
      <u val="singleAccounting"/>
      <sz val="14"/>
      <color rgb="FF000000"/>
      <name val="Museo Sans 100"/>
      <family val="3"/>
    </font>
    <font>
      <b/>
      <sz val="14"/>
      <color rgb="FF000000"/>
      <name val="Museo Sans 100"/>
      <family val="3"/>
    </font>
    <font>
      <u val="singleAccounting"/>
      <sz val="14"/>
      <name val="Museo Sans 100"/>
      <family val="3"/>
    </font>
    <font>
      <b/>
      <u val="singleAccounting"/>
      <sz val="14"/>
      <name val="Museo Sans 100"/>
      <family val="3"/>
    </font>
    <font>
      <b/>
      <u val="doubleAccounting"/>
      <sz val="14"/>
      <name val="Museo Sans 100"/>
      <family val="3"/>
    </font>
    <font>
      <i/>
      <sz val="12"/>
      <name val="Museo Sans 500"/>
      <family val="3"/>
    </font>
    <font>
      <sz val="12"/>
      <name val="Museo Sans 500"/>
      <family val="3"/>
    </font>
    <font>
      <b/>
      <sz val="12"/>
      <color indexed="17"/>
      <name val="Museo Sans 500"/>
      <family val="3"/>
    </font>
    <font>
      <u val="singleAccounting"/>
      <sz val="12"/>
      <name val="Museo Sans 500"/>
      <family val="3"/>
    </font>
    <font>
      <b/>
      <sz val="12"/>
      <color rgb="FF0070C0"/>
      <name val="Museo Sans 100"/>
      <family val="3"/>
    </font>
    <font>
      <u/>
      <sz val="14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18"/>
      <color theme="1"/>
      <name val="Arial Rounded MT Bold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Museo Sans 100"/>
      <family val="3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theme="8" tint="-0.249977111117893"/>
      <name val="Museo Sans 100"/>
      <family val="3"/>
    </font>
    <font>
      <i/>
      <sz val="8"/>
      <name val="Museo Sans 100"/>
      <family val="3"/>
    </font>
    <font>
      <i/>
      <sz val="9"/>
      <name val="Museo Sans 100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60">
    <xf numFmtId="0" fontId="0" fillId="0" borderId="0"/>
    <xf numFmtId="165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58" fillId="0" borderId="0" applyFont="0" applyFill="0" applyBorder="0" applyAlignment="0" applyProtection="0"/>
    <xf numFmtId="166" fontId="62" fillId="0" borderId="0" applyFont="0" applyFill="0" applyBorder="0" applyAlignment="0" applyProtection="0"/>
    <xf numFmtId="172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58" fillId="0" borderId="0"/>
    <xf numFmtId="0" fontId="60" fillId="3" borderId="31" applyNumberFormat="0" applyFont="0" applyAlignment="0" applyProtection="0"/>
    <xf numFmtId="0" fontId="62" fillId="3" borderId="31" applyNumberFormat="0" applyFont="0" applyAlignment="0" applyProtection="0"/>
    <xf numFmtId="9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57" fillId="0" borderId="0"/>
    <xf numFmtId="165" fontId="57" fillId="0" borderId="0" applyFont="0" applyFill="0" applyBorder="0" applyAlignment="0" applyProtection="0"/>
    <xf numFmtId="0" fontId="56" fillId="0" borderId="0"/>
    <xf numFmtId="165" fontId="56" fillId="0" borderId="0" applyFont="0" applyFill="0" applyBorder="0" applyAlignment="0" applyProtection="0"/>
    <xf numFmtId="0" fontId="55" fillId="0" borderId="0"/>
    <xf numFmtId="165" fontId="55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0" fontId="53" fillId="0" borderId="0"/>
    <xf numFmtId="9" fontId="66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63" fillId="2" borderId="0" applyNumberFormat="0" applyBorder="0" applyAlignment="0" applyProtection="0"/>
    <xf numFmtId="0" fontId="52" fillId="0" borderId="0"/>
    <xf numFmtId="0" fontId="52" fillId="3" borderId="31" applyNumberFormat="0" applyFont="0" applyAlignment="0" applyProtection="0"/>
    <xf numFmtId="9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9" fontId="5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47" fillId="0" borderId="0"/>
    <xf numFmtId="0" fontId="99" fillId="0" borderId="0" applyNumberFormat="0" applyFill="0" applyBorder="0" applyAlignment="0" applyProtection="0"/>
    <xf numFmtId="0" fontId="46" fillId="0" borderId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165" fontId="40" fillId="0" borderId="0" applyFont="0" applyFill="0" applyBorder="0" applyAlignment="0" applyProtection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0" fillId="0" borderId="0"/>
    <xf numFmtId="0" fontId="29" fillId="0" borderId="0"/>
    <xf numFmtId="165" fontId="29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13" fillId="0" borderId="0"/>
    <xf numFmtId="0" fontId="25" fillId="0" borderId="0"/>
    <xf numFmtId="165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0" fontId="16" fillId="0" borderId="0"/>
    <xf numFmtId="0" fontId="15" fillId="0" borderId="0"/>
    <xf numFmtId="0" fontId="58" fillId="0" borderId="0"/>
    <xf numFmtId="165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3" fillId="2" borderId="0" applyNumberFormat="0" applyBorder="0" applyAlignment="0" applyProtection="0"/>
    <xf numFmtId="0" fontId="15" fillId="0" borderId="0"/>
    <xf numFmtId="0" fontId="15" fillId="3" borderId="31" applyNumberFormat="0" applyFont="0" applyAlignment="0" applyProtection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9" fontId="58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3" borderId="31" applyNumberFormat="0" applyFont="0" applyAlignment="0" applyProtection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3" borderId="31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3" borderId="3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3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60">
    <xf numFmtId="0" fontId="0" fillId="0" borderId="0" xfId="0"/>
    <xf numFmtId="0" fontId="68" fillId="0" borderId="0" xfId="0" applyFont="1"/>
    <xf numFmtId="165" fontId="68" fillId="0" borderId="0" xfId="4" applyFont="1"/>
    <xf numFmtId="0" fontId="69" fillId="0" borderId="0" xfId="0" applyFont="1"/>
    <xf numFmtId="0" fontId="70" fillId="0" borderId="0" xfId="0" applyFont="1" applyAlignment="1">
      <alignment horizontal="center"/>
    </xf>
    <xf numFmtId="165" fontId="71" fillId="0" borderId="0" xfId="4" applyFont="1" applyFill="1"/>
    <xf numFmtId="0" fontId="72" fillId="0" borderId="0" xfId="0" applyFont="1"/>
    <xf numFmtId="0" fontId="71" fillId="0" borderId="0" xfId="0" applyFont="1"/>
    <xf numFmtId="14" fontId="71" fillId="0" borderId="0" xfId="0" applyNumberFormat="1" applyFont="1"/>
    <xf numFmtId="167" fontId="71" fillId="0" borderId="0" xfId="0" applyNumberFormat="1" applyFont="1" applyAlignment="1" applyProtection="1">
      <alignment horizontal="center"/>
      <protection locked="0"/>
    </xf>
    <xf numFmtId="167" fontId="71" fillId="0" borderId="0" xfId="0" applyNumberFormat="1" applyFont="1" applyAlignment="1">
      <alignment horizontal="center"/>
    </xf>
    <xf numFmtId="165" fontId="71" fillId="0" borderId="0" xfId="4" applyFont="1"/>
    <xf numFmtId="0" fontId="71" fillId="0" borderId="0" xfId="0" applyFont="1" applyAlignment="1">
      <alignment vertical="center"/>
    </xf>
    <xf numFmtId="165" fontId="70" fillId="0" borderId="13" xfId="4" applyFont="1" applyBorder="1" applyAlignment="1">
      <alignment horizontal="center" vertical="center" wrapText="1"/>
    </xf>
    <xf numFmtId="165" fontId="71" fillId="0" borderId="0" xfId="4" applyFont="1" applyAlignment="1">
      <alignment vertical="center"/>
    </xf>
    <xf numFmtId="0" fontId="74" fillId="0" borderId="0" xfId="0" applyFont="1"/>
    <xf numFmtId="165" fontId="68" fillId="0" borderId="0" xfId="4" applyFont="1" applyAlignment="1"/>
    <xf numFmtId="0" fontId="68" fillId="0" borderId="0" xfId="0" applyFont="1" applyAlignment="1">
      <alignment horizontal="center"/>
    </xf>
    <xf numFmtId="165" fontId="68" fillId="0" borderId="0" xfId="0" applyNumberFormat="1" applyFont="1"/>
    <xf numFmtId="165" fontId="69" fillId="0" borderId="0" xfId="0" applyNumberFormat="1" applyFont="1"/>
    <xf numFmtId="165" fontId="74" fillId="0" borderId="0" xfId="4" applyFont="1" applyAlignment="1"/>
    <xf numFmtId="165" fontId="74" fillId="0" borderId="7" xfId="4" applyFont="1" applyBorder="1" applyAlignment="1"/>
    <xf numFmtId="0" fontId="68" fillId="0" borderId="0" xfId="0" applyFont="1" applyProtection="1">
      <protection locked="0"/>
    </xf>
    <xf numFmtId="165" fontId="68" fillId="0" borderId="0" xfId="4" applyFont="1" applyAlignment="1">
      <alignment horizontal="center"/>
    </xf>
    <xf numFmtId="171" fontId="68" fillId="0" borderId="0" xfId="0" applyNumberFormat="1" applyFont="1"/>
    <xf numFmtId="169" fontId="68" fillId="0" borderId="0" xfId="4" applyNumberFormat="1" applyFont="1"/>
    <xf numFmtId="165" fontId="69" fillId="0" borderId="0" xfId="4" applyFont="1"/>
    <xf numFmtId="170" fontId="68" fillId="0" borderId="0" xfId="0" applyNumberFormat="1" applyFont="1"/>
    <xf numFmtId="4" fontId="68" fillId="0" borderId="0" xfId="0" applyNumberFormat="1" applyFont="1"/>
    <xf numFmtId="0" fontId="68" fillId="0" borderId="0" xfId="0" applyFont="1" applyAlignment="1">
      <alignment vertical="top"/>
    </xf>
    <xf numFmtId="165" fontId="68" fillId="0" borderId="0" xfId="4" applyFont="1" applyAlignment="1">
      <alignment vertical="top"/>
    </xf>
    <xf numFmtId="0" fontId="73" fillId="0" borderId="0" xfId="0" applyFont="1"/>
    <xf numFmtId="49" fontId="70" fillId="0" borderId="0" xfId="0" applyNumberFormat="1" applyFont="1" applyProtection="1">
      <protection locked="0"/>
    </xf>
    <xf numFmtId="167" fontId="71" fillId="0" borderId="0" xfId="0" applyNumberFormat="1" applyFont="1" applyProtection="1">
      <protection locked="0"/>
    </xf>
    <xf numFmtId="165" fontId="71" fillId="0" borderId="0" xfId="0" applyNumberFormat="1" applyFont="1"/>
    <xf numFmtId="165" fontId="71" fillId="0" borderId="0" xfId="4" applyFont="1" applyAlignment="1"/>
    <xf numFmtId="165" fontId="74" fillId="0" borderId="13" xfId="4" applyFont="1" applyBorder="1" applyAlignment="1">
      <alignment horizontal="center" vertical="center" wrapText="1"/>
    </xf>
    <xf numFmtId="165" fontId="68" fillId="0" borderId="0" xfId="4" applyFont="1" applyFill="1" applyAlignment="1"/>
    <xf numFmtId="0" fontId="74" fillId="0" borderId="0" xfId="0" applyFont="1" applyAlignment="1">
      <alignment horizontal="left"/>
    </xf>
    <xf numFmtId="0" fontId="68" fillId="0" borderId="0" xfId="0" applyFont="1" applyAlignment="1" applyProtection="1">
      <alignment vertical="top"/>
      <protection locked="0"/>
    </xf>
    <xf numFmtId="165" fontId="68" fillId="0" borderId="0" xfId="4" applyFont="1" applyAlignment="1">
      <alignment horizontal="center" vertical="top"/>
    </xf>
    <xf numFmtId="0" fontId="77" fillId="0" borderId="0" xfId="18" applyFont="1"/>
    <xf numFmtId="0" fontId="77" fillId="0" borderId="0" xfId="18" applyFont="1" applyAlignment="1">
      <alignment horizontal="center"/>
    </xf>
    <xf numFmtId="165" fontId="77" fillId="0" borderId="0" xfId="4" applyFont="1" applyFill="1"/>
    <xf numFmtId="0" fontId="70" fillId="0" borderId="0" xfId="0" applyFont="1"/>
    <xf numFmtId="0" fontId="74" fillId="0" borderId="0" xfId="0" applyFont="1" applyAlignment="1">
      <alignment horizontal="center"/>
    </xf>
    <xf numFmtId="165" fontId="74" fillId="0" borderId="0" xfId="4" applyFont="1" applyFill="1"/>
    <xf numFmtId="165" fontId="68" fillId="0" borderId="0" xfId="4" applyFont="1" applyFill="1"/>
    <xf numFmtId="165" fontId="74" fillId="0" borderId="0" xfId="4" applyFont="1"/>
    <xf numFmtId="165" fontId="77" fillId="0" borderId="0" xfId="6" applyFont="1"/>
    <xf numFmtId="165" fontId="68" fillId="0" borderId="0" xfId="4" applyFont="1" applyFill="1" applyAlignment="1">
      <alignment horizontal="center"/>
    </xf>
    <xf numFmtId="165" fontId="77" fillId="0" borderId="0" xfId="4" applyFont="1"/>
    <xf numFmtId="165" fontId="74" fillId="0" borderId="0" xfId="4" applyFont="1" applyFill="1" applyBorder="1"/>
    <xf numFmtId="165" fontId="68" fillId="0" borderId="0" xfId="4" applyFont="1" applyBorder="1"/>
    <xf numFmtId="0" fontId="74" fillId="0" borderId="0" xfId="0" applyFont="1" applyAlignment="1">
      <alignment wrapText="1"/>
    </xf>
    <xf numFmtId="0" fontId="74" fillId="0" borderId="0" xfId="0" applyFont="1" applyAlignment="1">
      <alignment horizontal="center" wrapText="1"/>
    </xf>
    <xf numFmtId="169" fontId="68" fillId="0" borderId="0" xfId="4" applyNumberFormat="1" applyFont="1" applyBorder="1"/>
    <xf numFmtId="0" fontId="68" fillId="0" borderId="4" xfId="0" applyFont="1" applyBorder="1"/>
    <xf numFmtId="0" fontId="68" fillId="0" borderId="1" xfId="0" applyFont="1" applyBorder="1"/>
    <xf numFmtId="0" fontId="74" fillId="0" borderId="1" xfId="0" applyFont="1" applyBorder="1"/>
    <xf numFmtId="43" fontId="77" fillId="0" borderId="0" xfId="7" applyFont="1"/>
    <xf numFmtId="165" fontId="79" fillId="0" borderId="0" xfId="4" applyFont="1"/>
    <xf numFmtId="165" fontId="68" fillId="0" borderId="0" xfId="6" applyFont="1"/>
    <xf numFmtId="0" fontId="77" fillId="0" borderId="0" xfId="0" applyFont="1"/>
    <xf numFmtId="165" fontId="74" fillId="0" borderId="0" xfId="4" applyFont="1" applyFill="1" applyAlignment="1"/>
    <xf numFmtId="173" fontId="74" fillId="0" borderId="0" xfId="0" applyNumberFormat="1" applyFont="1" applyAlignment="1">
      <alignment horizontal="center"/>
    </xf>
    <xf numFmtId="14" fontId="74" fillId="0" borderId="0" xfId="0" applyNumberFormat="1" applyFont="1" applyAlignment="1">
      <alignment horizontal="center"/>
    </xf>
    <xf numFmtId="165" fontId="74" fillId="0" borderId="0" xfId="4" applyFont="1" applyFill="1" applyAlignment="1">
      <alignment horizontal="center"/>
    </xf>
    <xf numFmtId="0" fontId="74" fillId="4" borderId="5" xfId="0" applyFont="1" applyFill="1" applyBorder="1" applyAlignment="1">
      <alignment horizontal="center"/>
    </xf>
    <xf numFmtId="0" fontId="74" fillId="4" borderId="12" xfId="0" applyFont="1" applyFill="1" applyBorder="1" applyAlignment="1">
      <alignment horizontal="center"/>
    </xf>
    <xf numFmtId="0" fontId="74" fillId="4" borderId="6" xfId="0" applyFont="1" applyFill="1" applyBorder="1" applyAlignment="1">
      <alignment horizontal="center"/>
    </xf>
    <xf numFmtId="0" fontId="68" fillId="0" borderId="10" xfId="0" applyFont="1" applyBorder="1"/>
    <xf numFmtId="165" fontId="68" fillId="0" borderId="8" xfId="4" applyFont="1" applyBorder="1"/>
    <xf numFmtId="0" fontId="68" fillId="0" borderId="11" xfId="0" applyFont="1" applyBorder="1"/>
    <xf numFmtId="0" fontId="68" fillId="0" borderId="13" xfId="0" applyFont="1" applyBorder="1"/>
    <xf numFmtId="165" fontId="68" fillId="0" borderId="9" xfId="4" applyFont="1" applyBorder="1"/>
    <xf numFmtId="165" fontId="68" fillId="0" borderId="13" xfId="4" applyFont="1" applyBorder="1"/>
    <xf numFmtId="165" fontId="81" fillId="0" borderId="9" xfId="4" applyFont="1" applyBorder="1"/>
    <xf numFmtId="0" fontId="74" fillId="0" borderId="11" xfId="0" applyFont="1" applyBorder="1"/>
    <xf numFmtId="0" fontId="74" fillId="0" borderId="13" xfId="0" applyFont="1" applyBorder="1"/>
    <xf numFmtId="165" fontId="82" fillId="0" borderId="9" xfId="4" applyFont="1" applyBorder="1"/>
    <xf numFmtId="0" fontId="68" fillId="0" borderId="14" xfId="0" applyFont="1" applyBorder="1"/>
    <xf numFmtId="0" fontId="68" fillId="0" borderId="15" xfId="0" applyFont="1" applyBorder="1"/>
    <xf numFmtId="0" fontId="68" fillId="0" borderId="16" xfId="0" applyFont="1" applyBorder="1"/>
    <xf numFmtId="165" fontId="75" fillId="0" borderId="0" xfId="4" applyFont="1"/>
    <xf numFmtId="165" fontId="68" fillId="0" borderId="0" xfId="4" applyFont="1" applyFill="1" applyBorder="1"/>
    <xf numFmtId="0" fontId="77" fillId="0" borderId="11" xfId="0" applyFont="1" applyBorder="1"/>
    <xf numFmtId="165" fontId="68" fillId="0" borderId="2" xfId="4" applyFont="1" applyBorder="1"/>
    <xf numFmtId="165" fontId="82" fillId="0" borderId="2" xfId="4" applyFont="1" applyBorder="1"/>
    <xf numFmtId="165" fontId="74" fillId="0" borderId="2" xfId="4" applyFont="1" applyBorder="1"/>
    <xf numFmtId="165" fontId="82" fillId="0" borderId="0" xfId="4" applyFont="1" applyBorder="1"/>
    <xf numFmtId="0" fontId="74" fillId="0" borderId="14" xfId="0" applyFont="1" applyBorder="1"/>
    <xf numFmtId="165" fontId="74" fillId="0" borderId="17" xfId="4" applyFont="1" applyBorder="1"/>
    <xf numFmtId="165" fontId="74" fillId="0" borderId="0" xfId="4" applyFont="1" applyBorder="1"/>
    <xf numFmtId="165" fontId="69" fillId="0" borderId="0" xfId="4" applyFont="1" applyAlignment="1">
      <alignment horizontal="center"/>
    </xf>
    <xf numFmtId="0" fontId="75" fillId="0" borderId="0" xfId="18" applyFont="1"/>
    <xf numFmtId="165" fontId="81" fillId="0" borderId="0" xfId="4" applyFont="1"/>
    <xf numFmtId="173" fontId="74" fillId="0" borderId="0" xfId="0" applyNumberFormat="1" applyFont="1"/>
    <xf numFmtId="165" fontId="77" fillId="0" borderId="10" xfId="6" applyFont="1" applyBorder="1"/>
    <xf numFmtId="165" fontId="77" fillId="0" borderId="8" xfId="6" applyFont="1" applyBorder="1"/>
    <xf numFmtId="165" fontId="77" fillId="0" borderId="11" xfId="6" applyFont="1" applyBorder="1"/>
    <xf numFmtId="165" fontId="77" fillId="0" borderId="9" xfId="6" applyFont="1" applyBorder="1"/>
    <xf numFmtId="165" fontId="83" fillId="0" borderId="9" xfId="6" applyFont="1" applyBorder="1"/>
    <xf numFmtId="165" fontId="79" fillId="0" borderId="11" xfId="6" applyFont="1" applyBorder="1"/>
    <xf numFmtId="165" fontId="84" fillId="0" borderId="9" xfId="6" applyFont="1" applyBorder="1"/>
    <xf numFmtId="165" fontId="77" fillId="0" borderId="14" xfId="6" applyFont="1" applyBorder="1"/>
    <xf numFmtId="165" fontId="77" fillId="0" borderId="16" xfId="6" applyFont="1" applyBorder="1"/>
    <xf numFmtId="0" fontId="74" fillId="4" borderId="19" xfId="0" applyFont="1" applyFill="1" applyBorder="1" applyAlignment="1">
      <alignment horizontal="center"/>
    </xf>
    <xf numFmtId="0" fontId="74" fillId="4" borderId="18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0" fontId="74" fillId="4" borderId="16" xfId="0" applyFont="1" applyFill="1" applyBorder="1" applyAlignment="1">
      <alignment horizontal="center"/>
    </xf>
    <xf numFmtId="165" fontId="68" fillId="0" borderId="4" xfId="4" applyFont="1" applyBorder="1"/>
    <xf numFmtId="4" fontId="69" fillId="0" borderId="0" xfId="0" applyNumberFormat="1" applyFont="1"/>
    <xf numFmtId="0" fontId="68" fillId="0" borderId="2" xfId="0" applyFont="1" applyBorder="1"/>
    <xf numFmtId="0" fontId="87" fillId="6" borderId="0" xfId="0" applyFont="1" applyFill="1"/>
    <xf numFmtId="165" fontId="81" fillId="0" borderId="2" xfId="4" applyFont="1" applyBorder="1"/>
    <xf numFmtId="0" fontId="85" fillId="0" borderId="0" xfId="0" applyFont="1"/>
    <xf numFmtId="0" fontId="79" fillId="4" borderId="5" xfId="0" applyFont="1" applyFill="1" applyBorder="1" applyAlignment="1">
      <alignment horizontal="center"/>
    </xf>
    <xf numFmtId="0" fontId="79" fillId="4" borderId="12" xfId="0" applyFont="1" applyFill="1" applyBorder="1" applyAlignment="1">
      <alignment horizontal="center"/>
    </xf>
    <xf numFmtId="14" fontId="68" fillId="0" borderId="4" xfId="0" applyNumberFormat="1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14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165" fontId="85" fillId="0" borderId="0" xfId="0" applyNumberFormat="1" applyFont="1"/>
    <xf numFmtId="0" fontId="74" fillId="0" borderId="2" xfId="0" applyFont="1" applyBorder="1"/>
    <xf numFmtId="165" fontId="84" fillId="0" borderId="2" xfId="4" applyFont="1" applyBorder="1"/>
    <xf numFmtId="4" fontId="85" fillId="0" borderId="0" xfId="0" applyNumberFormat="1" applyFont="1"/>
    <xf numFmtId="0" fontId="76" fillId="0" borderId="0" xfId="0" applyFont="1"/>
    <xf numFmtId="0" fontId="87" fillId="6" borderId="0" xfId="0" applyFont="1" applyFill="1" applyAlignment="1">
      <alignment horizontal="center" vertical="center"/>
    </xf>
    <xf numFmtId="0" fontId="70" fillId="0" borderId="14" xfId="0" applyFont="1" applyBorder="1"/>
    <xf numFmtId="4" fontId="89" fillId="0" borderId="16" xfId="0" applyNumberFormat="1" applyFont="1" applyBorder="1"/>
    <xf numFmtId="0" fontId="79" fillId="0" borderId="0" xfId="0" applyFont="1"/>
    <xf numFmtId="0" fontId="79" fillId="4" borderId="5" xfId="0" applyFont="1" applyFill="1" applyBorder="1" applyAlignment="1">
      <alignment horizontal="center" vertical="center"/>
    </xf>
    <xf numFmtId="0" fontId="79" fillId="4" borderId="12" xfId="0" applyFont="1" applyFill="1" applyBorder="1" applyAlignment="1">
      <alignment horizontal="center" vertical="center"/>
    </xf>
    <xf numFmtId="0" fontId="79" fillId="4" borderId="12" xfId="0" applyFont="1" applyFill="1" applyBorder="1" applyAlignment="1">
      <alignment horizontal="center" vertical="center" wrapText="1"/>
    </xf>
    <xf numFmtId="0" fontId="79" fillId="4" borderId="6" xfId="0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/>
    </xf>
    <xf numFmtId="0" fontId="77" fillId="0" borderId="2" xfId="0" applyFont="1" applyBorder="1"/>
    <xf numFmtId="0" fontId="77" fillId="0" borderId="2" xfId="0" applyFont="1" applyBorder="1" applyAlignment="1">
      <alignment horizontal="center"/>
    </xf>
    <xf numFmtId="165" fontId="83" fillId="0" borderId="2" xfId="6" applyFont="1" applyBorder="1"/>
    <xf numFmtId="165" fontId="83" fillId="0" borderId="8" xfId="0" applyNumberFormat="1" applyFont="1" applyBorder="1"/>
    <xf numFmtId="0" fontId="79" fillId="0" borderId="2" xfId="0" applyFont="1" applyBorder="1" applyAlignment="1">
      <alignment horizontal="right"/>
    </xf>
    <xf numFmtId="165" fontId="84" fillId="0" borderId="2" xfId="0" applyNumberFormat="1" applyFont="1" applyBorder="1"/>
    <xf numFmtId="0" fontId="84" fillId="0" borderId="2" xfId="0" applyFont="1" applyBorder="1"/>
    <xf numFmtId="165" fontId="84" fillId="0" borderId="9" xfId="0" applyNumberFormat="1" applyFont="1" applyBorder="1"/>
    <xf numFmtId="0" fontId="77" fillId="0" borderId="14" xfId="0" applyFont="1" applyBorder="1"/>
    <xf numFmtId="0" fontId="79" fillId="0" borderId="17" xfId="0" applyFont="1" applyBorder="1" applyAlignment="1">
      <alignment horizontal="center"/>
    </xf>
    <xf numFmtId="0" fontId="77" fillId="0" borderId="17" xfId="0" applyFont="1" applyBorder="1"/>
    <xf numFmtId="0" fontId="79" fillId="0" borderId="17" xfId="0" applyFont="1" applyBorder="1"/>
    <xf numFmtId="165" fontId="84" fillId="0" borderId="17" xfId="0" applyNumberFormat="1" applyFont="1" applyBorder="1"/>
    <xf numFmtId="0" fontId="90" fillId="0" borderId="17" xfId="0" applyFont="1" applyBorder="1"/>
    <xf numFmtId="165" fontId="84" fillId="0" borderId="16" xfId="0" applyNumberFormat="1" applyFont="1" applyBorder="1"/>
    <xf numFmtId="165" fontId="76" fillId="0" borderId="0" xfId="0" applyNumberFormat="1" applyFont="1"/>
    <xf numFmtId="0" fontId="74" fillId="4" borderId="35" xfId="0" applyFont="1" applyFill="1" applyBorder="1" applyAlignment="1">
      <alignment horizontal="center"/>
    </xf>
    <xf numFmtId="0" fontId="74" fillId="4" borderId="33" xfId="0" applyFont="1" applyFill="1" applyBorder="1" applyAlignment="1">
      <alignment horizontal="center"/>
    </xf>
    <xf numFmtId="0" fontId="68" fillId="0" borderId="30" xfId="0" applyFont="1" applyBorder="1"/>
    <xf numFmtId="165" fontId="68" fillId="0" borderId="16" xfId="4" applyFont="1" applyBorder="1"/>
    <xf numFmtId="0" fontId="91" fillId="6" borderId="0" xfId="0" applyFont="1" applyFill="1" applyAlignment="1">
      <alignment horizontal="center" vertical="center"/>
    </xf>
    <xf numFmtId="165" fontId="82" fillId="0" borderId="9" xfId="4" applyFont="1" applyBorder="1" applyAlignment="1">
      <alignment horizontal="right"/>
    </xf>
    <xf numFmtId="165" fontId="68" fillId="0" borderId="16" xfId="4" applyFont="1" applyBorder="1" applyAlignment="1">
      <alignment horizontal="right"/>
    </xf>
    <xf numFmtId="165" fontId="77" fillId="0" borderId="18" xfId="4" applyFont="1" applyBorder="1" applyAlignment="1">
      <alignment horizontal="right"/>
    </xf>
    <xf numFmtId="165" fontId="88" fillId="0" borderId="8" xfId="4" applyFont="1" applyBorder="1" applyAlignment="1">
      <alignment horizontal="right"/>
    </xf>
    <xf numFmtId="165" fontId="79" fillId="0" borderId="10" xfId="6" applyFont="1" applyBorder="1"/>
    <xf numFmtId="165" fontId="83" fillId="0" borderId="8" xfId="6" applyFont="1" applyBorder="1"/>
    <xf numFmtId="165" fontId="77" fillId="0" borderId="10" xfId="6" applyFont="1" applyFill="1" applyBorder="1"/>
    <xf numFmtId="165" fontId="77" fillId="0" borderId="8" xfId="6" applyFont="1" applyFill="1" applyBorder="1"/>
    <xf numFmtId="165" fontId="84" fillId="0" borderId="9" xfId="6" applyFont="1" applyFill="1" applyBorder="1"/>
    <xf numFmtId="165" fontId="77" fillId="0" borderId="0" xfId="6" applyFont="1" applyBorder="1"/>
    <xf numFmtId="165" fontId="68" fillId="0" borderId="7" xfId="0" applyNumberFormat="1" applyFont="1" applyBorder="1"/>
    <xf numFmtId="49" fontId="68" fillId="0" borderId="20" xfId="0" applyNumberFormat="1" applyFont="1" applyBorder="1"/>
    <xf numFmtId="165" fontId="68" fillId="0" borderId="21" xfId="4" applyFont="1" applyBorder="1"/>
    <xf numFmtId="165" fontId="81" fillId="0" borderId="21" xfId="4" applyFont="1" applyBorder="1"/>
    <xf numFmtId="0" fontId="74" fillId="0" borderId="22" xfId="0" applyFont="1" applyBorder="1"/>
    <xf numFmtId="165" fontId="82" fillId="0" borderId="23" xfId="4" applyFont="1" applyBorder="1"/>
    <xf numFmtId="0" fontId="68" fillId="0" borderId="24" xfId="0" applyFont="1" applyBorder="1"/>
    <xf numFmtId="0" fontId="68" fillId="0" borderId="3" xfId="0" applyFont="1" applyBorder="1"/>
    <xf numFmtId="165" fontId="68" fillId="0" borderId="25" xfId="4" applyFont="1" applyBorder="1"/>
    <xf numFmtId="0" fontId="68" fillId="0" borderId="20" xfId="0" applyFont="1" applyBorder="1"/>
    <xf numFmtId="0" fontId="74" fillId="0" borderId="26" xfId="0" applyFont="1" applyBorder="1"/>
    <xf numFmtId="165" fontId="82" fillId="0" borderId="27" xfId="4" applyFont="1" applyBorder="1"/>
    <xf numFmtId="0" fontId="68" fillId="4" borderId="0" xfId="0" applyFont="1" applyFill="1"/>
    <xf numFmtId="165" fontId="68" fillId="4" borderId="0" xfId="4" applyFont="1" applyFill="1"/>
    <xf numFmtId="165" fontId="74" fillId="0" borderId="3" xfId="4" applyFont="1" applyBorder="1"/>
    <xf numFmtId="165" fontId="84" fillId="0" borderId="0" xfId="4" applyFont="1"/>
    <xf numFmtId="0" fontId="74" fillId="5" borderId="5" xfId="0" applyFont="1" applyFill="1" applyBorder="1" applyAlignment="1">
      <alignment horizontal="center"/>
    </xf>
    <xf numFmtId="0" fontId="74" fillId="5" borderId="12" xfId="0" applyFont="1" applyFill="1" applyBorder="1" applyAlignment="1">
      <alignment horizontal="center"/>
    </xf>
    <xf numFmtId="165" fontId="74" fillId="5" borderId="6" xfId="6" applyFont="1" applyFill="1" applyBorder="1" applyAlignment="1">
      <alignment horizontal="center"/>
    </xf>
    <xf numFmtId="49" fontId="68" fillId="5" borderId="10" xfId="0" applyNumberFormat="1" applyFont="1" applyFill="1" applyBorder="1"/>
    <xf numFmtId="0" fontId="68" fillId="5" borderId="4" xfId="0" applyFont="1" applyFill="1" applyBorder="1"/>
    <xf numFmtId="0" fontId="68" fillId="5" borderId="4" xfId="0" applyFont="1" applyFill="1" applyBorder="1" applyAlignment="1">
      <alignment horizontal="center"/>
    </xf>
    <xf numFmtId="165" fontId="81" fillId="5" borderId="8" xfId="6" applyFont="1" applyFill="1" applyBorder="1"/>
    <xf numFmtId="0" fontId="74" fillId="5" borderId="14" xfId="0" applyFont="1" applyFill="1" applyBorder="1"/>
    <xf numFmtId="0" fontId="74" fillId="5" borderId="17" xfId="0" applyFont="1" applyFill="1" applyBorder="1"/>
    <xf numFmtId="165" fontId="82" fillId="5" borderId="16" xfId="6" applyFont="1" applyFill="1" applyBorder="1"/>
    <xf numFmtId="0" fontId="68" fillId="5" borderId="10" xfId="0" applyFont="1" applyFill="1" applyBorder="1"/>
    <xf numFmtId="14" fontId="68" fillId="5" borderId="4" xfId="0" applyNumberFormat="1" applyFont="1" applyFill="1" applyBorder="1" applyAlignment="1">
      <alignment horizontal="center"/>
    </xf>
    <xf numFmtId="165" fontId="68" fillId="5" borderId="8" xfId="6" applyFont="1" applyFill="1" applyBorder="1"/>
    <xf numFmtId="0" fontId="68" fillId="5" borderId="11" xfId="0" applyFont="1" applyFill="1" applyBorder="1"/>
    <xf numFmtId="0" fontId="68" fillId="5" borderId="2" xfId="0" applyFont="1" applyFill="1" applyBorder="1"/>
    <xf numFmtId="14" fontId="68" fillId="5" borderId="2" xfId="0" applyNumberFormat="1" applyFont="1" applyFill="1" applyBorder="1" applyAlignment="1">
      <alignment horizontal="center"/>
    </xf>
    <xf numFmtId="165" fontId="81" fillId="5" borderId="9" xfId="6" applyFont="1" applyFill="1" applyBorder="1"/>
    <xf numFmtId="165" fontId="92" fillId="0" borderId="0" xfId="4" applyFont="1"/>
    <xf numFmtId="165" fontId="84" fillId="0" borderId="0" xfId="4" applyFont="1" applyBorder="1"/>
    <xf numFmtId="0" fontId="68" fillId="5" borderId="0" xfId="0" applyFont="1" applyFill="1"/>
    <xf numFmtId="165" fontId="68" fillId="5" borderId="0" xfId="0" applyNumberFormat="1" applyFont="1" applyFill="1"/>
    <xf numFmtId="49" fontId="85" fillId="5" borderId="10" xfId="0" applyNumberFormat="1" applyFont="1" applyFill="1" applyBorder="1"/>
    <xf numFmtId="0" fontId="85" fillId="0" borderId="0" xfId="0" applyFont="1" applyAlignment="1">
      <alignment horizontal="center"/>
    </xf>
    <xf numFmtId="0" fontId="68" fillId="5" borderId="30" xfId="0" applyFont="1" applyFill="1" applyBorder="1"/>
    <xf numFmtId="0" fontId="85" fillId="5" borderId="19" xfId="0" applyFont="1" applyFill="1" applyBorder="1" applyAlignment="1">
      <alignment vertical="center"/>
    </xf>
    <xf numFmtId="0" fontId="68" fillId="5" borderId="19" xfId="0" applyFont="1" applyFill="1" applyBorder="1"/>
    <xf numFmtId="14" fontId="68" fillId="5" borderId="19" xfId="0" applyNumberFormat="1" applyFont="1" applyFill="1" applyBorder="1" applyAlignment="1">
      <alignment horizontal="center"/>
    </xf>
    <xf numFmtId="165" fontId="68" fillId="5" borderId="18" xfId="6" applyFont="1" applyFill="1" applyBorder="1"/>
    <xf numFmtId="0" fontId="68" fillId="5" borderId="14" xfId="0" applyFont="1" applyFill="1" applyBorder="1"/>
    <xf numFmtId="0" fontId="68" fillId="5" borderId="17" xfId="0" applyFont="1" applyFill="1" applyBorder="1"/>
    <xf numFmtId="14" fontId="68" fillId="5" borderId="17" xfId="0" applyNumberFormat="1" applyFont="1" applyFill="1" applyBorder="1" applyAlignment="1">
      <alignment horizontal="center"/>
    </xf>
    <xf numFmtId="165" fontId="81" fillId="5" borderId="16" xfId="6" applyFont="1" applyFill="1" applyBorder="1"/>
    <xf numFmtId="0" fontId="93" fillId="5" borderId="4" xfId="0" applyFont="1" applyFill="1" applyBorder="1" applyAlignment="1">
      <alignment horizontal="center"/>
    </xf>
    <xf numFmtId="0" fontId="85" fillId="5" borderId="4" xfId="0" applyFont="1" applyFill="1" applyBorder="1" applyAlignment="1">
      <alignment horizontal="center" vertical="center"/>
    </xf>
    <xf numFmtId="165" fontId="74" fillId="0" borderId="7" xfId="0" applyNumberFormat="1" applyFont="1" applyBorder="1"/>
    <xf numFmtId="165" fontId="86" fillId="0" borderId="0" xfId="6" applyFont="1"/>
    <xf numFmtId="165" fontId="74" fillId="4" borderId="6" xfId="6" applyFont="1" applyFill="1" applyBorder="1" applyAlignment="1">
      <alignment horizontal="center"/>
    </xf>
    <xf numFmtId="14" fontId="74" fillId="0" borderId="0" xfId="0" applyNumberFormat="1" applyFont="1"/>
    <xf numFmtId="165" fontId="68" fillId="0" borderId="9" xfId="4" applyFont="1" applyFill="1" applyBorder="1"/>
    <xf numFmtId="0" fontId="68" fillId="0" borderId="34" xfId="0" applyFont="1" applyBorder="1"/>
    <xf numFmtId="165" fontId="81" fillId="0" borderId="9" xfId="4" applyFont="1" applyFill="1" applyBorder="1"/>
    <xf numFmtId="4" fontId="74" fillId="0" borderId="0" xfId="0" applyNumberFormat="1" applyFont="1" applyAlignment="1">
      <alignment horizontal="center"/>
    </xf>
    <xf numFmtId="165" fontId="68" fillId="0" borderId="9" xfId="6" applyFont="1" applyBorder="1" applyAlignment="1">
      <alignment horizontal="right"/>
    </xf>
    <xf numFmtId="165" fontId="68" fillId="0" borderId="14" xfId="0" applyNumberFormat="1" applyFont="1" applyBorder="1"/>
    <xf numFmtId="4" fontId="68" fillId="0" borderId="0" xfId="18" applyNumberFormat="1" applyFont="1"/>
    <xf numFmtId="164" fontId="68" fillId="0" borderId="0" xfId="0" applyNumberFormat="1" applyFont="1" applyAlignment="1">
      <alignment horizontal="left" vertical="center" indent="4"/>
    </xf>
    <xf numFmtId="165" fontId="68" fillId="0" borderId="16" xfId="0" applyNumberFormat="1" applyFont="1" applyBorder="1"/>
    <xf numFmtId="165" fontId="74" fillId="0" borderId="16" xfId="4" applyFont="1" applyBorder="1"/>
    <xf numFmtId="165" fontId="81" fillId="0" borderId="4" xfId="4" applyFont="1" applyBorder="1"/>
    <xf numFmtId="0" fontId="74" fillId="0" borderId="2" xfId="0" applyFont="1" applyBorder="1" applyAlignment="1">
      <alignment horizontal="right"/>
    </xf>
    <xf numFmtId="0" fontId="79" fillId="0" borderId="2" xfId="0" applyFont="1" applyBorder="1"/>
    <xf numFmtId="0" fontId="87" fillId="0" borderId="0" xfId="0" applyFont="1"/>
    <xf numFmtId="165" fontId="77" fillId="0" borderId="2" xfId="4" applyFont="1" applyBorder="1"/>
    <xf numFmtId="0" fontId="77" fillId="0" borderId="4" xfId="0" applyFont="1" applyBorder="1"/>
    <xf numFmtId="165" fontId="77" fillId="0" borderId="4" xfId="4" applyFont="1" applyBorder="1"/>
    <xf numFmtId="0" fontId="79" fillId="0" borderId="5" xfId="0" applyFont="1" applyBorder="1" applyAlignment="1">
      <alignment horizontal="center"/>
    </xf>
    <xf numFmtId="165" fontId="79" fillId="0" borderId="6" xfId="4" applyFont="1" applyBorder="1" applyAlignment="1">
      <alignment horizontal="center"/>
    </xf>
    <xf numFmtId="165" fontId="83" fillId="0" borderId="2" xfId="4" applyFont="1" applyBorder="1"/>
    <xf numFmtId="165" fontId="77" fillId="0" borderId="0" xfId="4" applyFont="1" applyBorder="1"/>
    <xf numFmtId="165" fontId="74" fillId="0" borderId="0" xfId="4" applyFont="1" applyAlignment="1">
      <alignment horizontal="center"/>
    </xf>
    <xf numFmtId="165" fontId="74" fillId="0" borderId="0" xfId="4" applyFont="1" applyAlignment="1">
      <alignment horizontal="center" vertical="top"/>
    </xf>
    <xf numFmtId="165" fontId="74" fillId="0" borderId="0" xfId="4" applyFont="1" applyAlignment="1">
      <alignment vertical="top"/>
    </xf>
    <xf numFmtId="0" fontId="70" fillId="0" borderId="0" xfId="0" applyFont="1" applyAlignment="1">
      <alignment vertical="center"/>
    </xf>
    <xf numFmtId="0" fontId="88" fillId="0" borderId="2" xfId="0" applyFont="1" applyBorder="1" applyAlignment="1">
      <alignment horizontal="center"/>
    </xf>
    <xf numFmtId="0" fontId="77" fillId="0" borderId="2" xfId="0" applyFont="1" applyBorder="1" applyAlignment="1">
      <alignment vertical="center"/>
    </xf>
    <xf numFmtId="165" fontId="77" fillId="0" borderId="2" xfId="6" applyFont="1" applyFill="1" applyBorder="1"/>
    <xf numFmtId="165" fontId="77" fillId="0" borderId="2" xfId="4" applyFont="1" applyFill="1" applyBorder="1"/>
    <xf numFmtId="0" fontId="77" fillId="0" borderId="2" xfId="0" applyFont="1" applyBorder="1" applyAlignment="1">
      <alignment horizontal="left" vertical="center"/>
    </xf>
    <xf numFmtId="165" fontId="79" fillId="0" borderId="2" xfId="6" applyFont="1" applyFill="1" applyBorder="1"/>
    <xf numFmtId="165" fontId="80" fillId="0" borderId="2" xfId="6" applyFont="1" applyFill="1" applyBorder="1" applyAlignment="1"/>
    <xf numFmtId="165" fontId="97" fillId="0" borderId="2" xfId="6" applyFont="1" applyFill="1" applyBorder="1" applyAlignment="1"/>
    <xf numFmtId="165" fontId="84" fillId="0" borderId="2" xfId="4" applyFont="1" applyFill="1" applyBorder="1"/>
    <xf numFmtId="0" fontId="77" fillId="0" borderId="4" xfId="0" applyFont="1" applyBorder="1" applyAlignment="1">
      <alignment vertical="center"/>
    </xf>
    <xf numFmtId="0" fontId="77" fillId="0" borderId="4" xfId="0" applyFont="1" applyBorder="1" applyAlignment="1">
      <alignment wrapText="1"/>
    </xf>
    <xf numFmtId="165" fontId="77" fillId="0" borderId="4" xfId="4" applyFont="1" applyFill="1" applyBorder="1" applyAlignment="1">
      <alignment wrapText="1"/>
    </xf>
    <xf numFmtId="165" fontId="77" fillId="0" borderId="4" xfId="6" applyFont="1" applyFill="1" applyBorder="1"/>
    <xf numFmtId="0" fontId="98" fillId="0" borderId="12" xfId="0" applyFont="1" applyBorder="1" applyAlignment="1">
      <alignment horizontal="center"/>
    </xf>
    <xf numFmtId="165" fontId="98" fillId="0" borderId="6" xfId="6" applyFont="1" applyFill="1" applyBorder="1" applyAlignment="1">
      <alignment horizontal="center"/>
    </xf>
    <xf numFmtId="0" fontId="79" fillId="0" borderId="7" xfId="0" applyFont="1" applyBorder="1"/>
    <xf numFmtId="165" fontId="79" fillId="0" borderId="7" xfId="0" applyNumberFormat="1" applyFont="1" applyBorder="1"/>
    <xf numFmtId="165" fontId="68" fillId="0" borderId="0" xfId="6" applyFont="1" applyFill="1"/>
    <xf numFmtId="0" fontId="100" fillId="0" borderId="0" xfId="0" applyFont="1" applyAlignment="1">
      <alignment vertical="center"/>
    </xf>
    <xf numFmtId="0" fontId="99" fillId="0" borderId="0" xfId="71" applyAlignment="1">
      <alignment vertical="center"/>
    </xf>
    <xf numFmtId="0" fontId="101" fillId="0" borderId="0" xfId="0" applyFont="1"/>
    <xf numFmtId="165" fontId="68" fillId="0" borderId="0" xfId="35" applyFont="1" applyAlignment="1">
      <alignment horizontal="right"/>
    </xf>
    <xf numFmtId="0" fontId="101" fillId="0" borderId="0" xfId="0" applyFont="1" applyAlignment="1">
      <alignment horizontal="center"/>
    </xf>
    <xf numFmtId="165" fontId="79" fillId="0" borderId="10" xfId="6" applyFont="1" applyFill="1" applyBorder="1"/>
    <xf numFmtId="165" fontId="79" fillId="0" borderId="8" xfId="6" applyFont="1" applyFill="1" applyBorder="1"/>
    <xf numFmtId="165" fontId="102" fillId="0" borderId="8" xfId="6" applyFont="1" applyFill="1" applyBorder="1"/>
    <xf numFmtId="165" fontId="79" fillId="0" borderId="11" xfId="6" applyFont="1" applyFill="1" applyBorder="1"/>
    <xf numFmtId="165" fontId="85" fillId="0" borderId="0" xfId="45" applyFont="1"/>
    <xf numFmtId="0" fontId="68" fillId="0" borderId="10" xfId="18" applyFont="1" applyBorder="1"/>
    <xf numFmtId="0" fontId="68" fillId="0" borderId="11" xfId="18" applyFont="1" applyBorder="1"/>
    <xf numFmtId="0" fontId="74" fillId="0" borderId="11" xfId="18" applyFont="1" applyBorder="1"/>
    <xf numFmtId="165" fontId="82" fillId="0" borderId="9" xfId="4" applyFont="1" applyFill="1" applyBorder="1"/>
    <xf numFmtId="4" fontId="68" fillId="0" borderId="8" xfId="18" applyNumberFormat="1" applyFont="1" applyBorder="1"/>
    <xf numFmtId="4" fontId="68" fillId="0" borderId="9" xfId="18" applyNumberFormat="1" applyFont="1" applyBorder="1"/>
    <xf numFmtId="165" fontId="79" fillId="0" borderId="34" xfId="35" applyFont="1" applyBorder="1" applyAlignment="1">
      <alignment horizontal="right"/>
    </xf>
    <xf numFmtId="165" fontId="68" fillId="0" borderId="18" xfId="6" applyFont="1" applyBorder="1" applyAlignment="1">
      <alignment horizontal="right"/>
    </xf>
    <xf numFmtId="165" fontId="74" fillId="0" borderId="16" xfId="0" applyNumberFormat="1" applyFont="1" applyBorder="1"/>
    <xf numFmtId="0" fontId="68" fillId="0" borderId="10" xfId="0" applyFont="1" applyBorder="1" applyAlignment="1">
      <alignment horizontal="left" wrapText="1"/>
    </xf>
    <xf numFmtId="0" fontId="58" fillId="0" borderId="0" xfId="0" applyFont="1"/>
    <xf numFmtId="165" fontId="68" fillId="0" borderId="1" xfId="0" applyNumberFormat="1" applyFont="1" applyBorder="1" applyAlignment="1">
      <alignment horizontal="right"/>
    </xf>
    <xf numFmtId="0" fontId="43" fillId="0" borderId="0" xfId="76"/>
    <xf numFmtId="4" fontId="43" fillId="0" borderId="0" xfId="76" applyNumberFormat="1"/>
    <xf numFmtId="17" fontId="74" fillId="0" borderId="0" xfId="73" applyNumberFormat="1" applyFont="1"/>
    <xf numFmtId="165" fontId="68" fillId="0" borderId="0" xfId="73" applyNumberFormat="1" applyFont="1"/>
    <xf numFmtId="0" fontId="68" fillId="0" borderId="0" xfId="73" applyFont="1"/>
    <xf numFmtId="165" fontId="96" fillId="0" borderId="0" xfId="75" applyFont="1"/>
    <xf numFmtId="0" fontId="95" fillId="4" borderId="5" xfId="73" applyFont="1" applyFill="1" applyBorder="1" applyAlignment="1">
      <alignment horizontal="center" vertical="center" wrapText="1"/>
    </xf>
    <xf numFmtId="0" fontId="80" fillId="4" borderId="12" xfId="73" applyFont="1" applyFill="1" applyBorder="1" applyAlignment="1">
      <alignment horizontal="center" vertical="center" wrapText="1"/>
    </xf>
    <xf numFmtId="0" fontId="80" fillId="4" borderId="6" xfId="73" applyFont="1" applyFill="1" applyBorder="1" applyAlignment="1">
      <alignment horizontal="center" vertical="center" wrapText="1"/>
    </xf>
    <xf numFmtId="0" fontId="68" fillId="0" borderId="10" xfId="73" applyFont="1" applyBorder="1"/>
    <xf numFmtId="0" fontId="68" fillId="0" borderId="11" xfId="73" applyFont="1" applyBorder="1"/>
    <xf numFmtId="0" fontId="74" fillId="0" borderId="11" xfId="73" applyFont="1" applyBorder="1"/>
    <xf numFmtId="0" fontId="74" fillId="0" borderId="11" xfId="73" applyFont="1" applyBorder="1" applyAlignment="1">
      <alignment vertical="center" wrapText="1"/>
    </xf>
    <xf numFmtId="0" fontId="68" fillId="0" borderId="14" xfId="73" applyFont="1" applyBorder="1"/>
    <xf numFmtId="0" fontId="68" fillId="0" borderId="30" xfId="18" applyFont="1" applyBorder="1"/>
    <xf numFmtId="165" fontId="74" fillId="0" borderId="13" xfId="4" applyFont="1" applyFill="1" applyBorder="1" applyAlignment="1">
      <alignment horizontal="center" vertical="center" wrapText="1"/>
    </xf>
    <xf numFmtId="0" fontId="68" fillId="0" borderId="0" xfId="0" quotePrefix="1" applyFont="1" applyAlignment="1">
      <alignment horizontal="left"/>
    </xf>
    <xf numFmtId="165" fontId="103" fillId="0" borderId="0" xfId="4" applyFont="1" applyFill="1" applyAlignment="1">
      <alignment horizontal="center"/>
    </xf>
    <xf numFmtId="165" fontId="94" fillId="0" borderId="0" xfId="4" applyFont="1" applyFill="1" applyAlignment="1">
      <alignment horizontal="center"/>
    </xf>
    <xf numFmtId="10" fontId="74" fillId="0" borderId="0" xfId="43" applyNumberFormat="1" applyFont="1" applyFill="1" applyAlignment="1">
      <alignment horizontal="center"/>
    </xf>
    <xf numFmtId="165" fontId="68" fillId="0" borderId="1" xfId="4" applyFont="1" applyFill="1" applyBorder="1"/>
    <xf numFmtId="0" fontId="74" fillId="0" borderId="0" xfId="0" applyFont="1" applyAlignment="1">
      <alignment horizontal="left" indent="3"/>
    </xf>
    <xf numFmtId="165" fontId="68" fillId="0" borderId="0" xfId="0" applyNumberFormat="1" applyFont="1" applyAlignment="1">
      <alignment horizontal="center"/>
    </xf>
    <xf numFmtId="165" fontId="77" fillId="0" borderId="0" xfId="6" applyFont="1" applyFill="1"/>
    <xf numFmtId="165" fontId="74" fillId="0" borderId="0" xfId="0" applyNumberFormat="1" applyFont="1"/>
    <xf numFmtId="165" fontId="74" fillId="0" borderId="37" xfId="4" applyFont="1" applyBorder="1" applyAlignment="1">
      <alignment horizontal="center"/>
    </xf>
    <xf numFmtId="165" fontId="68" fillId="0" borderId="37" xfId="4" applyFont="1" applyBorder="1"/>
    <xf numFmtId="0" fontId="68" fillId="0" borderId="38" xfId="0" applyFont="1" applyBorder="1"/>
    <xf numFmtId="165" fontId="82" fillId="0" borderId="16" xfId="0" applyNumberFormat="1" applyFont="1" applyBorder="1"/>
    <xf numFmtId="165" fontId="74" fillId="0" borderId="0" xfId="4" applyFont="1" applyBorder="1" applyAlignment="1">
      <alignment horizontal="center"/>
    </xf>
    <xf numFmtId="0" fontId="70" fillId="7" borderId="40" xfId="0" applyFont="1" applyFill="1" applyBorder="1" applyAlignment="1">
      <alignment horizontal="center"/>
    </xf>
    <xf numFmtId="0" fontId="74" fillId="0" borderId="34" xfId="0" applyFont="1" applyBorder="1" applyAlignment="1">
      <alignment horizontal="center"/>
    </xf>
    <xf numFmtId="171" fontId="68" fillId="0" borderId="34" xfId="0" applyNumberFormat="1" applyFont="1" applyBorder="1"/>
    <xf numFmtId="0" fontId="68" fillId="0" borderId="41" xfId="0" applyFont="1" applyBorder="1"/>
    <xf numFmtId="165" fontId="74" fillId="0" borderId="34" xfId="4" applyFont="1" applyBorder="1" applyAlignment="1">
      <alignment horizontal="center"/>
    </xf>
    <xf numFmtId="165" fontId="68" fillId="0" borderId="37" xfId="4" applyFont="1" applyFill="1" applyBorder="1"/>
    <xf numFmtId="169" fontId="68" fillId="0" borderId="34" xfId="4" applyNumberFormat="1" applyFont="1" applyBorder="1"/>
    <xf numFmtId="165" fontId="70" fillId="0" borderId="13" xfId="4" applyFont="1" applyFill="1" applyBorder="1" applyAlignment="1">
      <alignment horizontal="center" vertical="center" wrapText="1"/>
    </xf>
    <xf numFmtId="165" fontId="69" fillId="0" borderId="0" xfId="4" applyFont="1" applyFill="1"/>
    <xf numFmtId="4" fontId="42" fillId="0" borderId="0" xfId="77" applyNumberFormat="1"/>
    <xf numFmtId="4" fontId="104" fillId="0" borderId="0" xfId="0" applyNumberFormat="1" applyFont="1"/>
    <xf numFmtId="0" fontId="68" fillId="0" borderId="0" xfId="0" applyFont="1" applyAlignment="1" applyProtection="1">
      <alignment horizontal="center"/>
      <protection locked="0"/>
    </xf>
    <xf numFmtId="4" fontId="101" fillId="0" borderId="0" xfId="18" applyNumberFormat="1" applyFont="1"/>
    <xf numFmtId="165" fontId="85" fillId="0" borderId="0" xfId="45" applyFont="1" applyFill="1" applyBorder="1"/>
    <xf numFmtId="0" fontId="74" fillId="0" borderId="11" xfId="18" applyFont="1" applyBorder="1" applyAlignment="1">
      <alignment wrapText="1"/>
    </xf>
    <xf numFmtId="0" fontId="74" fillId="0" borderId="11" xfId="73" applyFont="1" applyBorder="1" applyAlignment="1">
      <alignment wrapText="1"/>
    </xf>
    <xf numFmtId="165" fontId="105" fillId="0" borderId="0" xfId="84" applyFont="1" applyAlignment="1">
      <alignment horizontal="right"/>
    </xf>
    <xf numFmtId="165" fontId="68" fillId="0" borderId="1" xfId="4" applyFont="1" applyFill="1" applyBorder="1" applyAlignment="1"/>
    <xf numFmtId="4" fontId="37" fillId="0" borderId="0" xfId="85" applyNumberFormat="1"/>
    <xf numFmtId="4" fontId="36" fillId="0" borderId="0" xfId="86" applyNumberFormat="1"/>
    <xf numFmtId="0" fontId="35" fillId="0" borderId="0" xfId="87"/>
    <xf numFmtId="4" fontId="35" fillId="0" borderId="0" xfId="87" applyNumberFormat="1"/>
    <xf numFmtId="4" fontId="68" fillId="0" borderId="18" xfId="18" applyNumberFormat="1" applyFont="1" applyBorder="1"/>
    <xf numFmtId="0" fontId="74" fillId="4" borderId="35" xfId="0" applyFont="1" applyFill="1" applyBorder="1" applyAlignment="1">
      <alignment horizontal="center" vertical="center" wrapText="1"/>
    </xf>
    <xf numFmtId="0" fontId="71" fillId="0" borderId="11" xfId="0" applyFont="1" applyBorder="1"/>
    <xf numFmtId="4" fontId="88" fillId="0" borderId="9" xfId="18" applyNumberFormat="1" applyFont="1" applyBorder="1"/>
    <xf numFmtId="0" fontId="33" fillId="0" borderId="0" xfId="90"/>
    <xf numFmtId="0" fontId="33" fillId="0" borderId="0" xfId="90" quotePrefix="1"/>
    <xf numFmtId="14" fontId="33" fillId="0" borderId="0" xfId="90" applyNumberFormat="1"/>
    <xf numFmtId="4" fontId="33" fillId="0" borderId="0" xfId="90" applyNumberFormat="1"/>
    <xf numFmtId="4" fontId="33" fillId="0" borderId="7" xfId="90" applyNumberFormat="1" applyBorder="1"/>
    <xf numFmtId="0" fontId="106" fillId="0" borderId="0" xfId="90" applyFont="1"/>
    <xf numFmtId="0" fontId="33" fillId="10" borderId="0" xfId="90" applyFill="1"/>
    <xf numFmtId="165" fontId="81" fillId="0" borderId="8" xfId="4" applyFont="1" applyBorder="1"/>
    <xf numFmtId="4" fontId="30" fillId="0" borderId="0" xfId="95" applyNumberFormat="1"/>
    <xf numFmtId="4" fontId="101" fillId="0" borderId="8" xfId="18" applyNumberFormat="1" applyFont="1" applyBorder="1"/>
    <xf numFmtId="0" fontId="28" fillId="0" borderId="0" xfId="98"/>
    <xf numFmtId="14" fontId="28" fillId="0" borderId="0" xfId="98" applyNumberFormat="1"/>
    <xf numFmtId="0" fontId="65" fillId="0" borderId="0" xfId="90" applyFont="1"/>
    <xf numFmtId="165" fontId="107" fillId="0" borderId="0" xfId="4" applyFont="1" applyBorder="1"/>
    <xf numFmtId="0" fontId="33" fillId="10" borderId="0" xfId="90" applyFill="1" applyAlignment="1">
      <alignment horizontal="center"/>
    </xf>
    <xf numFmtId="0" fontId="96" fillId="0" borderId="0" xfId="0" applyFont="1"/>
    <xf numFmtId="4" fontId="75" fillId="0" borderId="0" xfId="78" applyNumberFormat="1" applyFont="1"/>
    <xf numFmtId="0" fontId="85" fillId="9" borderId="47" xfId="0" applyFont="1" applyFill="1" applyBorder="1" applyAlignment="1">
      <alignment horizontal="center"/>
    </xf>
    <xf numFmtId="14" fontId="85" fillId="9" borderId="47" xfId="0" applyNumberFormat="1" applyFont="1" applyFill="1" applyBorder="1" applyAlignment="1">
      <alignment horizontal="center"/>
    </xf>
    <xf numFmtId="4" fontId="85" fillId="9" borderId="47" xfId="0" applyNumberFormat="1" applyFont="1" applyFill="1" applyBorder="1"/>
    <xf numFmtId="0" fontId="85" fillId="9" borderId="42" xfId="0" applyFont="1" applyFill="1" applyBorder="1" applyAlignment="1">
      <alignment horizontal="center"/>
    </xf>
    <xf numFmtId="14" fontId="85" fillId="9" borderId="42" xfId="0" applyNumberFormat="1" applyFont="1" applyFill="1" applyBorder="1" applyAlignment="1">
      <alignment horizontal="center"/>
    </xf>
    <xf numFmtId="4" fontId="85" fillId="9" borderId="42" xfId="0" applyNumberFormat="1" applyFont="1" applyFill="1" applyBorder="1"/>
    <xf numFmtId="4" fontId="110" fillId="9" borderId="42" xfId="0" applyNumberFormat="1" applyFont="1" applyFill="1" applyBorder="1"/>
    <xf numFmtId="4" fontId="111" fillId="9" borderId="42" xfId="0" applyNumberFormat="1" applyFont="1" applyFill="1" applyBorder="1"/>
    <xf numFmtId="4" fontId="76" fillId="0" borderId="0" xfId="0" applyNumberFormat="1" applyFont="1"/>
    <xf numFmtId="0" fontId="85" fillId="9" borderId="42" xfId="0" applyFont="1" applyFill="1" applyBorder="1"/>
    <xf numFmtId="4" fontId="108" fillId="9" borderId="42" xfId="0" applyNumberFormat="1" applyFont="1" applyFill="1" applyBorder="1"/>
    <xf numFmtId="0" fontId="85" fillId="9" borderId="45" xfId="0" applyFont="1" applyFill="1" applyBorder="1" applyAlignment="1">
      <alignment horizontal="center"/>
    </xf>
    <xf numFmtId="14" fontId="85" fillId="9" borderId="46" xfId="0" applyNumberFormat="1" applyFont="1" applyFill="1" applyBorder="1" applyAlignment="1">
      <alignment horizontal="center"/>
    </xf>
    <xf numFmtId="4" fontId="96" fillId="9" borderId="42" xfId="0" applyNumberFormat="1" applyFont="1" applyFill="1" applyBorder="1"/>
    <xf numFmtId="0" fontId="108" fillId="9" borderId="4" xfId="0" applyFont="1" applyFill="1" applyBorder="1" applyAlignment="1">
      <alignment horizontal="center"/>
    </xf>
    <xf numFmtId="0" fontId="108" fillId="9" borderId="5" xfId="0" applyFont="1" applyFill="1" applyBorder="1" applyAlignment="1">
      <alignment horizontal="center"/>
    </xf>
    <xf numFmtId="0" fontId="108" fillId="9" borderId="12" xfId="0" applyFont="1" applyFill="1" applyBorder="1" applyAlignment="1">
      <alignment horizontal="center"/>
    </xf>
    <xf numFmtId="0" fontId="108" fillId="9" borderId="6" xfId="0" applyFont="1" applyFill="1" applyBorder="1" applyAlignment="1">
      <alignment horizontal="center"/>
    </xf>
    <xf numFmtId="0" fontId="112" fillId="0" borderId="0" xfId="0" applyFont="1"/>
    <xf numFmtId="4" fontId="101" fillId="0" borderId="9" xfId="18" applyNumberFormat="1" applyFont="1" applyBorder="1"/>
    <xf numFmtId="165" fontId="82" fillId="0" borderId="16" xfId="4" applyFont="1" applyBorder="1"/>
    <xf numFmtId="165" fontId="68" fillId="0" borderId="0" xfId="4" applyFont="1" applyFill="1" applyAlignment="1">
      <alignment vertical="center"/>
    </xf>
    <xf numFmtId="165" fontId="77" fillId="0" borderId="0" xfId="4" applyFont="1" applyFill="1" applyAlignment="1">
      <alignment vertical="center"/>
    </xf>
    <xf numFmtId="165" fontId="74" fillId="0" borderId="0" xfId="4" applyFont="1" applyFill="1" applyAlignment="1">
      <alignment vertical="center"/>
    </xf>
    <xf numFmtId="165" fontId="79" fillId="0" borderId="0" xfId="4" applyFont="1" applyFill="1" applyAlignment="1">
      <alignment vertical="center"/>
    </xf>
    <xf numFmtId="0" fontId="85" fillId="9" borderId="50" xfId="0" applyFont="1" applyFill="1" applyBorder="1" applyAlignment="1">
      <alignment horizontal="center"/>
    </xf>
    <xf numFmtId="165" fontId="68" fillId="0" borderId="0" xfId="4" applyFont="1" applyAlignment="1">
      <alignment horizontal="right"/>
    </xf>
    <xf numFmtId="165" fontId="68" fillId="0" borderId="0" xfId="4" applyFont="1" applyBorder="1" applyAlignment="1">
      <alignment horizontal="right"/>
    </xf>
    <xf numFmtId="165" fontId="68" fillId="0" borderId="1" xfId="4" applyFont="1" applyBorder="1" applyAlignment="1">
      <alignment horizontal="right"/>
    </xf>
    <xf numFmtId="165" fontId="74" fillId="0" borderId="0" xfId="4" applyFont="1" applyAlignment="1">
      <alignment horizontal="right"/>
    </xf>
    <xf numFmtId="165" fontId="74" fillId="0" borderId="7" xfId="4" applyFont="1" applyBorder="1" applyAlignment="1">
      <alignment horizontal="right"/>
    </xf>
    <xf numFmtId="175" fontId="68" fillId="0" borderId="0" xfId="4" applyNumberFormat="1" applyFont="1" applyAlignment="1">
      <alignment horizontal="right"/>
    </xf>
    <xf numFmtId="39" fontId="68" fillId="0" borderId="0" xfId="4" applyNumberFormat="1" applyFont="1" applyFill="1" applyAlignment="1">
      <alignment horizontal="right"/>
    </xf>
    <xf numFmtId="39" fontId="68" fillId="0" borderId="0" xfId="4" applyNumberFormat="1" applyFont="1" applyFill="1"/>
    <xf numFmtId="165" fontId="68" fillId="0" borderId="0" xfId="0" applyNumberFormat="1" applyFont="1" applyAlignment="1">
      <alignment horizontal="right"/>
    </xf>
    <xf numFmtId="165" fontId="75" fillId="0" borderId="0" xfId="4" applyFont="1" applyAlignment="1">
      <alignment horizontal="right"/>
    </xf>
    <xf numFmtId="0" fontId="68" fillId="0" borderId="0" xfId="0" applyFont="1" applyAlignment="1">
      <alignment horizontal="right"/>
    </xf>
    <xf numFmtId="165" fontId="81" fillId="0" borderId="0" xfId="4" applyFont="1" applyBorder="1" applyAlignment="1">
      <alignment horizontal="right"/>
    </xf>
    <xf numFmtId="165" fontId="74" fillId="8" borderId="7" xfId="0" applyNumberFormat="1" applyFont="1" applyFill="1" applyBorder="1" applyAlignment="1">
      <alignment horizontal="right"/>
    </xf>
    <xf numFmtId="4" fontId="68" fillId="0" borderId="9" xfId="4" applyNumberFormat="1" applyFont="1" applyBorder="1" applyAlignment="1">
      <alignment horizontal="right"/>
    </xf>
    <xf numFmtId="4" fontId="81" fillId="0" borderId="9" xfId="4" applyNumberFormat="1" applyFont="1" applyBorder="1" applyAlignment="1">
      <alignment horizontal="right"/>
    </xf>
    <xf numFmtId="4" fontId="82" fillId="0" borderId="9" xfId="4" applyNumberFormat="1" applyFont="1" applyBorder="1" applyAlignment="1">
      <alignment horizontal="right"/>
    </xf>
    <xf numFmtId="4" fontId="68" fillId="0" borderId="16" xfId="0" applyNumberFormat="1" applyFont="1" applyBorder="1" applyAlignment="1">
      <alignment horizontal="right"/>
    </xf>
    <xf numFmtId="4" fontId="68" fillId="0" borderId="16" xfId="4" applyNumberFormat="1" applyFont="1" applyBorder="1" applyAlignment="1">
      <alignment horizontal="right"/>
    </xf>
    <xf numFmtId="39" fontId="77" fillId="0" borderId="8" xfId="6" applyNumberFormat="1" applyFont="1" applyBorder="1" applyAlignment="1">
      <alignment horizontal="right"/>
    </xf>
    <xf numFmtId="39" fontId="77" fillId="0" borderId="9" xfId="6" applyNumberFormat="1" applyFont="1" applyBorder="1" applyAlignment="1">
      <alignment horizontal="right"/>
    </xf>
    <xf numFmtId="39" fontId="83" fillId="0" borderId="9" xfId="6" applyNumberFormat="1" applyFont="1" applyBorder="1" applyAlignment="1">
      <alignment horizontal="right"/>
    </xf>
    <xf numFmtId="39" fontId="84" fillId="0" borderId="9" xfId="6" applyNumberFormat="1" applyFont="1" applyBorder="1" applyAlignment="1">
      <alignment horizontal="right"/>
    </xf>
    <xf numFmtId="4" fontId="68" fillId="0" borderId="0" xfId="4" applyNumberFormat="1" applyFont="1" applyBorder="1" applyAlignment="1">
      <alignment horizontal="right"/>
    </xf>
    <xf numFmtId="165" fontId="68" fillId="0" borderId="8" xfId="4" applyFont="1" applyBorder="1" applyAlignment="1">
      <alignment horizontal="right"/>
    </xf>
    <xf numFmtId="165" fontId="68" fillId="0" borderId="9" xfId="4" applyFont="1" applyBorder="1" applyAlignment="1">
      <alignment horizontal="right"/>
    </xf>
    <xf numFmtId="0" fontId="74" fillId="0" borderId="11" xfId="73" applyFont="1" applyBorder="1" applyAlignment="1">
      <alignment horizontal="center" wrapText="1"/>
    </xf>
    <xf numFmtId="165" fontId="77" fillId="0" borderId="9" xfId="4" applyFont="1" applyFill="1" applyBorder="1"/>
    <xf numFmtId="165" fontId="83" fillId="0" borderId="36" xfId="4" applyFont="1" applyFill="1" applyBorder="1"/>
    <xf numFmtId="165" fontId="108" fillId="0" borderId="0" xfId="4" applyFont="1"/>
    <xf numFmtId="39" fontId="68" fillId="0" borderId="0" xfId="4" applyNumberFormat="1" applyFont="1"/>
    <xf numFmtId="0" fontId="114" fillId="0" borderId="0" xfId="0" applyFont="1"/>
    <xf numFmtId="165" fontId="114" fillId="0" borderId="0" xfId="4" applyFont="1"/>
    <xf numFmtId="165" fontId="26" fillId="0" borderId="0" xfId="82" applyFont="1" applyAlignment="1">
      <alignment horizontal="right"/>
    </xf>
    <xf numFmtId="165" fontId="26" fillId="0" borderId="0" xfId="82" applyFont="1" applyFill="1" applyAlignment="1">
      <alignment horizontal="right"/>
    </xf>
    <xf numFmtId="165" fontId="26" fillId="0" borderId="0" xfId="97" applyFont="1"/>
    <xf numFmtId="0" fontId="26" fillId="0" borderId="0" xfId="90" applyFont="1"/>
    <xf numFmtId="0" fontId="26" fillId="0" borderId="0" xfId="90" applyFont="1" applyAlignment="1">
      <alignment horizontal="right"/>
    </xf>
    <xf numFmtId="165" fontId="26" fillId="0" borderId="0" xfId="4" applyFont="1"/>
    <xf numFmtId="165" fontId="71" fillId="0" borderId="2" xfId="4" applyFont="1" applyFill="1" applyBorder="1"/>
    <xf numFmtId="165" fontId="115" fillId="0" borderId="4" xfId="4" applyFont="1" applyBorder="1"/>
    <xf numFmtId="165" fontId="115" fillId="0" borderId="4" xfId="4" applyFont="1" applyFill="1" applyBorder="1"/>
    <xf numFmtId="165" fontId="115" fillId="0" borderId="8" xfId="4" applyFont="1" applyBorder="1"/>
    <xf numFmtId="165" fontId="115" fillId="0" borderId="2" xfId="4" applyFont="1" applyFill="1" applyBorder="1"/>
    <xf numFmtId="165" fontId="115" fillId="0" borderId="2" xfId="4" applyFont="1" applyBorder="1"/>
    <xf numFmtId="165" fontId="116" fillId="0" borderId="2" xfId="4" applyFont="1" applyFill="1" applyBorder="1"/>
    <xf numFmtId="165" fontId="116" fillId="0" borderId="4" xfId="4" applyFont="1" applyFill="1" applyBorder="1"/>
    <xf numFmtId="165" fontId="116" fillId="0" borderId="2" xfId="4" applyFont="1" applyBorder="1"/>
    <xf numFmtId="165" fontId="116" fillId="0" borderId="8" xfId="4" applyFont="1" applyBorder="1"/>
    <xf numFmtId="165" fontId="117" fillId="0" borderId="2" xfId="4" applyFont="1" applyFill="1" applyBorder="1"/>
    <xf numFmtId="165" fontId="117" fillId="0" borderId="2" xfId="4" applyFont="1" applyBorder="1"/>
    <xf numFmtId="165" fontId="117" fillId="0" borderId="9" xfId="4" applyFont="1" applyBorder="1"/>
    <xf numFmtId="165" fontId="71" fillId="0" borderId="2" xfId="4" applyFont="1" applyBorder="1"/>
    <xf numFmtId="165" fontId="70" fillId="0" borderId="2" xfId="4" applyFont="1" applyFill="1" applyBorder="1"/>
    <xf numFmtId="165" fontId="70" fillId="0" borderId="9" xfId="4" applyFont="1" applyBorder="1"/>
    <xf numFmtId="165" fontId="70" fillId="0" borderId="2" xfId="4" applyFont="1" applyBorder="1"/>
    <xf numFmtId="165" fontId="71" fillId="0" borderId="4" xfId="4" applyFont="1" applyFill="1" applyBorder="1"/>
    <xf numFmtId="165" fontId="71" fillId="0" borderId="9" xfId="4" applyFont="1" applyBorder="1"/>
    <xf numFmtId="165" fontId="71" fillId="0" borderId="8" xfId="4" applyFont="1" applyBorder="1"/>
    <xf numFmtId="165" fontId="118" fillId="0" borderId="2" xfId="4" applyFont="1" applyFill="1" applyBorder="1"/>
    <xf numFmtId="165" fontId="118" fillId="0" borderId="4" xfId="4" applyFont="1" applyFill="1" applyBorder="1"/>
    <xf numFmtId="165" fontId="118" fillId="0" borderId="2" xfId="4" applyFont="1" applyBorder="1"/>
    <xf numFmtId="165" fontId="118" fillId="0" borderId="8" xfId="4" applyFont="1" applyBorder="1"/>
    <xf numFmtId="165" fontId="119" fillId="0" borderId="2" xfId="4" applyFont="1" applyFill="1" applyBorder="1" applyAlignment="1">
      <alignment wrapText="1"/>
    </xf>
    <xf numFmtId="165" fontId="119" fillId="0" borderId="2" xfId="4" applyFont="1" applyBorder="1" applyAlignment="1">
      <alignment wrapText="1"/>
    </xf>
    <xf numFmtId="165" fontId="119" fillId="0" borderId="9" xfId="4" applyFont="1" applyBorder="1" applyAlignment="1">
      <alignment wrapText="1"/>
    </xf>
    <xf numFmtId="165" fontId="119" fillId="0" borderId="2" xfId="4" applyFont="1" applyFill="1" applyBorder="1"/>
    <xf numFmtId="165" fontId="119" fillId="0" borderId="2" xfId="4" applyFont="1" applyBorder="1"/>
    <xf numFmtId="165" fontId="120" fillId="0" borderId="2" xfId="4" applyFont="1" applyFill="1" applyBorder="1"/>
    <xf numFmtId="165" fontId="120" fillId="0" borderId="2" xfId="4" applyFont="1" applyBorder="1"/>
    <xf numFmtId="165" fontId="120" fillId="0" borderId="9" xfId="4" applyFont="1" applyBorder="1"/>
    <xf numFmtId="165" fontId="71" fillId="0" borderId="17" xfId="4" applyFont="1" applyBorder="1"/>
    <xf numFmtId="165" fontId="71" fillId="0" borderId="17" xfId="4" applyFont="1" applyFill="1" applyBorder="1"/>
    <xf numFmtId="165" fontId="71" fillId="0" borderId="16" xfId="4" applyFont="1" applyBorder="1"/>
    <xf numFmtId="4" fontId="23" fillId="0" borderId="0" xfId="109" applyNumberFormat="1"/>
    <xf numFmtId="165" fontId="22" fillId="0" borderId="0" xfId="111" applyFont="1" applyAlignment="1">
      <alignment horizontal="right"/>
    </xf>
    <xf numFmtId="0" fontId="68" fillId="0" borderId="0" xfId="0" applyFont="1" applyAlignment="1">
      <alignment horizontal="left" wrapText="1"/>
    </xf>
    <xf numFmtId="0" fontId="68" fillId="0" borderId="10" xfId="18" applyFont="1" applyBorder="1" applyAlignment="1">
      <alignment wrapText="1"/>
    </xf>
    <xf numFmtId="0" fontId="74" fillId="4" borderId="5" xfId="0" applyFont="1" applyFill="1" applyBorder="1" applyAlignment="1">
      <alignment horizontal="center" vertical="center"/>
    </xf>
    <xf numFmtId="0" fontId="74" fillId="4" borderId="6" xfId="0" applyFont="1" applyFill="1" applyBorder="1" applyAlignment="1">
      <alignment horizontal="center" vertical="center"/>
    </xf>
    <xf numFmtId="0" fontId="74" fillId="4" borderId="0" xfId="0" applyFont="1" applyFill="1"/>
    <xf numFmtId="165" fontId="74" fillId="4" borderId="0" xfId="4" applyFont="1" applyFill="1"/>
    <xf numFmtId="165" fontId="81" fillId="0" borderId="8" xfId="4" applyFont="1" applyFill="1" applyBorder="1"/>
    <xf numFmtId="0" fontId="122" fillId="0" borderId="4" xfId="0" applyFont="1" applyBorder="1" applyAlignment="1">
      <alignment horizontal="left"/>
    </xf>
    <xf numFmtId="165" fontId="122" fillId="0" borderId="4" xfId="4" applyFont="1" applyBorder="1"/>
    <xf numFmtId="165" fontId="122" fillId="0" borderId="4" xfId="4" applyFont="1" applyFill="1" applyBorder="1"/>
    <xf numFmtId="0" fontId="122" fillId="0" borderId="2" xfId="0" applyFont="1" applyBorder="1" applyAlignment="1">
      <alignment horizontal="left" wrapText="1"/>
    </xf>
    <xf numFmtId="165" fontId="122" fillId="0" borderId="2" xfId="4" applyFont="1" applyBorder="1"/>
    <xf numFmtId="165" fontId="122" fillId="0" borderId="2" xfId="4" applyFont="1" applyFill="1" applyBorder="1"/>
    <xf numFmtId="0" fontId="121" fillId="0" borderId="2" xfId="0" applyFont="1" applyBorder="1"/>
    <xf numFmtId="0" fontId="121" fillId="0" borderId="2" xfId="0" applyFont="1" applyBorder="1" applyAlignment="1">
      <alignment wrapText="1"/>
    </xf>
    <xf numFmtId="0" fontId="122" fillId="0" borderId="2" xfId="0" applyFont="1" applyBorder="1" applyAlignment="1">
      <alignment horizontal="left" vertical="center" wrapText="1"/>
    </xf>
    <xf numFmtId="0" fontId="121" fillId="0" borderId="2" xfId="0" applyFont="1" applyBorder="1" applyAlignment="1">
      <alignment vertical="center" wrapText="1"/>
    </xf>
    <xf numFmtId="165" fontId="124" fillId="0" borderId="2" xfId="4" applyFont="1" applyBorder="1"/>
    <xf numFmtId="165" fontId="125" fillId="0" borderId="51" xfId="4" applyFont="1" applyBorder="1"/>
    <xf numFmtId="165" fontId="79" fillId="12" borderId="7" xfId="4" applyFont="1" applyFill="1" applyBorder="1"/>
    <xf numFmtId="0" fontId="85" fillId="0" borderId="4" xfId="0" applyFont="1" applyBorder="1"/>
    <xf numFmtId="4" fontId="21" fillId="0" borderId="0" xfId="112" applyNumberFormat="1"/>
    <xf numFmtId="0" fontId="96" fillId="11" borderId="0" xfId="0" applyFont="1" applyFill="1" applyAlignment="1">
      <alignment horizontal="center"/>
    </xf>
    <xf numFmtId="165" fontId="20" fillId="0" borderId="0" xfId="114" applyFont="1"/>
    <xf numFmtId="4" fontId="106" fillId="0" borderId="0" xfId="113" applyNumberFormat="1" applyFont="1"/>
    <xf numFmtId="4" fontId="20" fillId="0" borderId="0" xfId="113" applyNumberFormat="1"/>
    <xf numFmtId="0" fontId="20" fillId="0" borderId="0" xfId="113"/>
    <xf numFmtId="165" fontId="19" fillId="0" borderId="0" xfId="116" applyFont="1" applyAlignment="1">
      <alignment horizontal="right"/>
    </xf>
    <xf numFmtId="165" fontId="77" fillId="0" borderId="11" xfId="6" applyFont="1" applyBorder="1" applyAlignment="1">
      <alignment horizontal="right"/>
    </xf>
    <xf numFmtId="165" fontId="72" fillId="0" borderId="0" xfId="4" applyFont="1" applyBorder="1"/>
    <xf numFmtId="4" fontId="126" fillId="0" borderId="0" xfId="120" applyNumberFormat="1" applyFont="1"/>
    <xf numFmtId="4" fontId="15" fillId="0" borderId="0" xfId="121" applyNumberFormat="1"/>
    <xf numFmtId="0" fontId="6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8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4" fontId="14" fillId="0" borderId="0" xfId="212" applyNumberFormat="1"/>
    <xf numFmtId="0" fontId="132" fillId="0" borderId="0" xfId="0" applyFont="1"/>
    <xf numFmtId="4" fontId="13" fillId="0" borderId="0" xfId="223" applyNumberFormat="1"/>
    <xf numFmtId="165" fontId="13" fillId="5" borderId="0" xfId="224" applyFont="1" applyFill="1"/>
    <xf numFmtId="165" fontId="134" fillId="5" borderId="0" xfId="225" applyFont="1" applyFill="1" applyBorder="1"/>
    <xf numFmtId="165" fontId="133" fillId="5" borderId="0" xfId="225" applyFont="1" applyFill="1" applyBorder="1"/>
    <xf numFmtId="165" fontId="135" fillId="0" borderId="0" xfId="225" applyFont="1" applyFill="1" applyBorder="1"/>
    <xf numFmtId="0" fontId="68" fillId="0" borderId="0" xfId="0" applyFont="1" applyAlignment="1">
      <alignment wrapText="1"/>
    </xf>
    <xf numFmtId="175" fontId="26" fillId="0" borderId="0" xfId="82" applyNumberFormat="1" applyFont="1" applyAlignment="1">
      <alignment horizontal="right"/>
    </xf>
    <xf numFmtId="165" fontId="68" fillId="0" borderId="1" xfId="4" applyFont="1" applyBorder="1"/>
    <xf numFmtId="176" fontId="78" fillId="0" borderId="0" xfId="4" applyNumberFormat="1" applyFont="1" applyAlignment="1"/>
    <xf numFmtId="176" fontId="26" fillId="0" borderId="0" xfId="4" applyNumberFormat="1" applyFont="1" applyAlignment="1">
      <alignment horizontal="right"/>
    </xf>
    <xf numFmtId="176" fontId="68" fillId="0" borderId="0" xfId="4" applyNumberFormat="1" applyFont="1" applyAlignment="1"/>
    <xf numFmtId="0" fontId="80" fillId="0" borderId="0" xfId="0" applyFont="1" applyAlignment="1">
      <alignment horizontal="center"/>
    </xf>
    <xf numFmtId="165" fontId="103" fillId="0" borderId="0" xfId="4" applyFont="1" applyAlignment="1">
      <alignment horizontal="right"/>
    </xf>
    <xf numFmtId="165" fontId="74" fillId="0" borderId="3" xfId="4" applyFont="1" applyBorder="1" applyAlignment="1">
      <alignment horizontal="right"/>
    </xf>
    <xf numFmtId="0" fontId="85" fillId="0" borderId="0" xfId="0" applyFont="1" applyAlignment="1">
      <alignment wrapText="1"/>
    </xf>
    <xf numFmtId="165" fontId="26" fillId="0" borderId="0" xfId="4" applyFont="1" applyFill="1"/>
    <xf numFmtId="165" fontId="78" fillId="0" borderId="0" xfId="4" applyFont="1" applyAlignment="1"/>
    <xf numFmtId="0" fontId="71" fillId="0" borderId="0" xfId="0" applyFont="1" applyAlignment="1">
      <alignment horizontal="center"/>
    </xf>
    <xf numFmtId="0" fontId="79" fillId="0" borderId="0" xfId="18" applyFont="1" applyAlignment="1">
      <alignment horizontal="center"/>
    </xf>
    <xf numFmtId="0" fontId="74" fillId="0" borderId="0" xfId="0" applyFont="1" applyAlignment="1">
      <alignment vertical="center"/>
    </xf>
    <xf numFmtId="0" fontId="79" fillId="0" borderId="0" xfId="18" applyFont="1" applyAlignment="1">
      <alignment horizontal="center" vertical="center"/>
    </xf>
    <xf numFmtId="0" fontId="68" fillId="0" borderId="0" xfId="0" applyFont="1" applyAlignment="1">
      <alignment vertical="center"/>
    </xf>
    <xf numFmtId="0" fontId="74" fillId="0" borderId="0" xfId="0" applyFont="1" applyAlignment="1">
      <alignment horizontal="left" vertical="center" wrapText="1"/>
    </xf>
    <xf numFmtId="165" fontId="79" fillId="0" borderId="0" xfId="18" applyNumberFormat="1" applyFont="1" applyAlignment="1">
      <alignment horizontal="center"/>
    </xf>
    <xf numFmtId="17" fontId="68" fillId="0" borderId="2" xfId="0" applyNumberFormat="1" applyFont="1" applyBorder="1"/>
    <xf numFmtId="17" fontId="68" fillId="0" borderId="4" xfId="0" applyNumberFormat="1" applyFont="1" applyBorder="1"/>
    <xf numFmtId="0" fontId="74" fillId="0" borderId="5" xfId="0" applyFont="1" applyBorder="1" applyAlignment="1">
      <alignment horizontal="center"/>
    </xf>
    <xf numFmtId="0" fontId="74" fillId="0" borderId="12" xfId="0" applyFont="1" applyBorder="1" applyAlignment="1">
      <alignment horizontal="center"/>
    </xf>
    <xf numFmtId="0" fontId="74" fillId="0" borderId="6" xfId="0" applyFont="1" applyBorder="1" applyAlignment="1">
      <alignment horizontal="center"/>
    </xf>
    <xf numFmtId="165" fontId="68" fillId="0" borderId="4" xfId="0" applyNumberFormat="1" applyFont="1" applyBorder="1"/>
    <xf numFmtId="165" fontId="83" fillId="0" borderId="2" xfId="6" applyFont="1" applyFill="1" applyBorder="1"/>
    <xf numFmtId="4" fontId="77" fillId="0" borderId="4" xfId="212" applyNumberFormat="1" applyFont="1" applyBorder="1"/>
    <xf numFmtId="49" fontId="85" fillId="5" borderId="4" xfId="0" applyNumberFormat="1" applyFont="1" applyFill="1" applyBorder="1" applyAlignment="1">
      <alignment horizontal="center"/>
    </xf>
    <xf numFmtId="4" fontId="12" fillId="0" borderId="0" xfId="232" applyNumberFormat="1"/>
    <xf numFmtId="165" fontId="72" fillId="0" borderId="0" xfId="4" applyFont="1"/>
    <xf numFmtId="165" fontId="11" fillId="0" borderId="0" xfId="233" applyNumberFormat="1"/>
    <xf numFmtId="0" fontId="79" fillId="0" borderId="0" xfId="233" applyFont="1"/>
    <xf numFmtId="0" fontId="77" fillId="0" borderId="0" xfId="233" applyFont="1" applyAlignment="1">
      <alignment horizontal="center" vertical="center"/>
    </xf>
    <xf numFmtId="43" fontId="77" fillId="0" borderId="0" xfId="235" applyFont="1" applyBorder="1" applyAlignment="1">
      <alignment horizontal="right" vertical="top"/>
    </xf>
    <xf numFmtId="4" fontId="10" fillId="0" borderId="0" xfId="236" applyNumberFormat="1"/>
    <xf numFmtId="4" fontId="136" fillId="0" borderId="0" xfId="238" applyNumberFormat="1" applyFont="1"/>
    <xf numFmtId="4" fontId="9" fillId="0" borderId="0" xfId="238" applyNumberFormat="1"/>
    <xf numFmtId="0" fontId="137" fillId="0" borderId="0" xfId="238" applyFont="1"/>
    <xf numFmtId="0" fontId="127" fillId="0" borderId="0" xfId="0" applyFont="1" applyAlignment="1">
      <alignment horizontal="left" vertical="center"/>
    </xf>
    <xf numFmtId="0" fontId="65" fillId="0" borderId="5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65" fillId="0" borderId="52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129" fillId="0" borderId="12" xfId="0" applyFont="1" applyBorder="1" applyAlignment="1">
      <alignment horizontal="center" vertical="center" wrapText="1"/>
    </xf>
    <xf numFmtId="4" fontId="138" fillId="0" borderId="0" xfId="238" applyNumberFormat="1" applyFont="1"/>
    <xf numFmtId="165" fontId="68" fillId="0" borderId="2" xfId="0" applyNumberFormat="1" applyFont="1" applyBorder="1"/>
    <xf numFmtId="4" fontId="138" fillId="0" borderId="2" xfId="238" applyNumberFormat="1" applyFont="1" applyBorder="1"/>
    <xf numFmtId="165" fontId="0" fillId="5" borderId="0" xfId="4" applyFont="1" applyFill="1"/>
    <xf numFmtId="165" fontId="68" fillId="5" borderId="8" xfId="6" applyFont="1" applyFill="1" applyBorder="1" applyAlignment="1">
      <alignment horizontal="right"/>
    </xf>
    <xf numFmtId="165" fontId="68" fillId="5" borderId="9" xfId="6" applyFont="1" applyFill="1" applyBorder="1" applyAlignment="1">
      <alignment horizontal="right"/>
    </xf>
    <xf numFmtId="165" fontId="81" fillId="5" borderId="9" xfId="6" applyFont="1" applyFill="1" applyBorder="1" applyAlignment="1">
      <alignment horizontal="right"/>
    </xf>
    <xf numFmtId="165" fontId="68" fillId="5" borderId="8" xfId="4" applyFont="1" applyFill="1" applyBorder="1"/>
    <xf numFmtId="165" fontId="68" fillId="5" borderId="9" xfId="4" applyFont="1" applyFill="1" applyBorder="1"/>
    <xf numFmtId="4" fontId="8" fillId="0" borderId="0" xfId="240" applyNumberFormat="1"/>
    <xf numFmtId="165" fontId="69" fillId="0" borderId="0" xfId="4" applyFont="1" applyFill="1" applyAlignment="1"/>
    <xf numFmtId="165" fontId="131" fillId="0" borderId="0" xfId="92" applyFont="1" applyAlignment="1">
      <alignment horizontal="right"/>
    </xf>
    <xf numFmtId="165" fontId="131" fillId="0" borderId="0" xfId="4" applyFont="1" applyAlignment="1">
      <alignment horizontal="right"/>
    </xf>
    <xf numFmtId="165" fontId="68" fillId="0" borderId="7" xfId="4" applyFont="1" applyBorder="1"/>
    <xf numFmtId="0" fontId="139" fillId="5" borderId="4" xfId="0" applyFont="1" applyFill="1" applyBorder="1"/>
    <xf numFmtId="165" fontId="102" fillId="0" borderId="0" xfId="4" applyFont="1"/>
    <xf numFmtId="14" fontId="69" fillId="5" borderId="2" xfId="0" applyNumberFormat="1" applyFont="1" applyFill="1" applyBorder="1" applyAlignment="1">
      <alignment horizontal="center"/>
    </xf>
    <xf numFmtId="165" fontId="69" fillId="0" borderId="2" xfId="4" applyFont="1" applyBorder="1"/>
    <xf numFmtId="17" fontId="69" fillId="0" borderId="2" xfId="0" applyNumberFormat="1" applyFont="1" applyBorder="1"/>
    <xf numFmtId="165" fontId="69" fillId="0" borderId="4" xfId="0" applyNumberFormat="1" applyFont="1" applyBorder="1"/>
    <xf numFmtId="0" fontId="109" fillId="9" borderId="45" xfId="0" applyFont="1" applyFill="1" applyBorder="1" applyAlignment="1">
      <alignment horizontal="center" vertical="center"/>
    </xf>
    <xf numFmtId="0" fontId="109" fillId="9" borderId="46" xfId="0" applyFont="1" applyFill="1" applyBorder="1" applyAlignment="1">
      <alignment horizontal="center" vertical="center"/>
    </xf>
    <xf numFmtId="165" fontId="68" fillId="0" borderId="9" xfId="4" applyFont="1" applyFill="1" applyBorder="1" applyAlignment="1">
      <alignment horizontal="right"/>
    </xf>
    <xf numFmtId="165" fontId="81" fillId="0" borderId="9" xfId="4" applyFont="1" applyFill="1" applyBorder="1" applyAlignment="1">
      <alignment horizontal="right"/>
    </xf>
    <xf numFmtId="165" fontId="77" fillId="0" borderId="2" xfId="6" applyFont="1" applyBorder="1"/>
    <xf numFmtId="165" fontId="77" fillId="0" borderId="8" xfId="0" applyNumberFormat="1" applyFont="1" applyBorder="1"/>
    <xf numFmtId="4" fontId="6" fillId="0" borderId="0" xfId="243" applyNumberFormat="1"/>
    <xf numFmtId="165" fontId="81" fillId="0" borderId="9" xfId="6" applyFont="1" applyBorder="1" applyAlignment="1">
      <alignment horizontal="right"/>
    </xf>
    <xf numFmtId="165" fontId="82" fillId="0" borderId="9" xfId="0" applyNumberFormat="1" applyFont="1" applyBorder="1"/>
    <xf numFmtId="16" fontId="77" fillId="0" borderId="0" xfId="0" applyNumberFormat="1" applyFont="1"/>
    <xf numFmtId="0" fontId="140" fillId="9" borderId="50" xfId="0" applyFont="1" applyFill="1" applyBorder="1" applyAlignment="1">
      <alignment horizontal="center"/>
    </xf>
    <xf numFmtId="14" fontId="141" fillId="9" borderId="46" xfId="0" applyNumberFormat="1" applyFont="1" applyFill="1" applyBorder="1" applyAlignment="1">
      <alignment horizontal="center"/>
    </xf>
    <xf numFmtId="4" fontId="4" fillId="0" borderId="0" xfId="246" applyNumberFormat="1"/>
    <xf numFmtId="0" fontId="65" fillId="13" borderId="5" xfId="0" applyFont="1" applyFill="1" applyBorder="1" applyAlignment="1">
      <alignment horizontal="center" vertical="center" wrapText="1"/>
    </xf>
    <xf numFmtId="0" fontId="130" fillId="0" borderId="4" xfId="0" applyFont="1" applyBorder="1" applyAlignment="1">
      <alignment horizontal="center" vertical="center"/>
    </xf>
    <xf numFmtId="0" fontId="142" fillId="0" borderId="4" xfId="0" applyFont="1" applyBorder="1" applyAlignment="1">
      <alignment horizontal="left"/>
    </xf>
    <xf numFmtId="0" fontId="131" fillId="0" borderId="4" xfId="0" applyFont="1" applyBorder="1" applyAlignment="1">
      <alignment horizontal="center" vertical="center"/>
    </xf>
    <xf numFmtId="0" fontId="142" fillId="0" borderId="4" xfId="0" applyFont="1" applyBorder="1"/>
    <xf numFmtId="165" fontId="131" fillId="0" borderId="4" xfId="4" applyFont="1" applyFill="1" applyBorder="1"/>
    <xf numFmtId="165" fontId="131" fillId="0" borderId="4" xfId="0" applyNumberFormat="1" applyFont="1" applyBorder="1"/>
    <xf numFmtId="0" fontId="131" fillId="13" borderId="4" xfId="0" applyFont="1" applyFill="1" applyBorder="1" applyAlignment="1">
      <alignment horizontal="right"/>
    </xf>
    <xf numFmtId="0" fontId="131" fillId="0" borderId="4" xfId="0" applyFont="1" applyBorder="1"/>
    <xf numFmtId="0" fontId="131" fillId="0" borderId="4" xfId="0" applyFont="1" applyBorder="1" applyAlignment="1">
      <alignment horizontal="center"/>
    </xf>
    <xf numFmtId="0" fontId="131" fillId="0" borderId="0" xfId="0" applyFont="1"/>
    <xf numFmtId="0" fontId="130" fillId="0" borderId="2" xfId="0" applyFont="1" applyBorder="1" applyAlignment="1">
      <alignment horizontal="center" vertical="center"/>
    </xf>
    <xf numFmtId="0" fontId="142" fillId="0" borderId="2" xfId="0" applyFont="1" applyBorder="1" applyAlignment="1">
      <alignment vertical="center"/>
    </xf>
    <xf numFmtId="0" fontId="131" fillId="0" borderId="2" xfId="0" applyFont="1" applyBorder="1" applyAlignment="1">
      <alignment horizontal="center" vertical="center"/>
    </xf>
    <xf numFmtId="0" fontId="142" fillId="0" borderId="2" xfId="0" applyFont="1" applyBorder="1"/>
    <xf numFmtId="165" fontId="131" fillId="0" borderId="2" xfId="4" applyFont="1" applyFill="1" applyBorder="1"/>
    <xf numFmtId="0" fontId="131" fillId="13" borderId="2" xfId="0" applyFont="1" applyFill="1" applyBorder="1" applyAlignment="1">
      <alignment horizontal="right"/>
    </xf>
    <xf numFmtId="0" fontId="131" fillId="0" borderId="2" xfId="0" applyFont="1" applyBorder="1" applyAlignment="1">
      <alignment horizontal="center"/>
    </xf>
    <xf numFmtId="0" fontId="131" fillId="0" borderId="2" xfId="0" applyFont="1" applyBorder="1"/>
    <xf numFmtId="0" fontId="142" fillId="0" borderId="2" xfId="0" applyFont="1" applyBorder="1" applyAlignment="1">
      <alignment horizontal="left" vertical="center"/>
    </xf>
    <xf numFmtId="0" fontId="142" fillId="0" borderId="2" xfId="0" applyFont="1" applyBorder="1" applyAlignment="1">
      <alignment horizontal="left"/>
    </xf>
    <xf numFmtId="0" fontId="143" fillId="0" borderId="2" xfId="0" applyFont="1" applyBorder="1" applyAlignment="1">
      <alignment vertical="center" wrapText="1"/>
    </xf>
    <xf numFmtId="1" fontId="13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131" fillId="0" borderId="0" xfId="0" applyFont="1" applyAlignment="1">
      <alignment horizontal="center"/>
    </xf>
    <xf numFmtId="165" fontId="0" fillId="0" borderId="0" xfId="4" applyFont="1"/>
    <xf numFmtId="0" fontId="106" fillId="0" borderId="6" xfId="0" applyFont="1" applyBorder="1" applyAlignment="1">
      <alignment horizontal="center" vertical="center" wrapText="1"/>
    </xf>
    <xf numFmtId="0" fontId="68" fillId="0" borderId="7" xfId="0" applyFont="1" applyBorder="1"/>
    <xf numFmtId="4" fontId="3" fillId="0" borderId="0" xfId="247" applyNumberFormat="1"/>
    <xf numFmtId="4" fontId="3" fillId="0" borderId="0" xfId="252" applyNumberFormat="1"/>
    <xf numFmtId="0" fontId="3" fillId="0" borderId="0" xfId="252"/>
    <xf numFmtId="165" fontId="135" fillId="5" borderId="0" xfId="248" applyFont="1" applyFill="1" applyBorder="1"/>
    <xf numFmtId="165" fontId="2" fillId="0" borderId="0" xfId="257" applyFont="1" applyAlignment="1">
      <alignment horizontal="right"/>
    </xf>
    <xf numFmtId="165" fontId="1" fillId="0" borderId="0" xfId="259" applyFont="1" applyAlignment="1">
      <alignment horizontal="right"/>
    </xf>
    <xf numFmtId="0" fontId="68" fillId="0" borderId="0" xfId="0" applyFont="1" applyAlignment="1">
      <alignment horizontal="center"/>
    </xf>
    <xf numFmtId="165" fontId="68" fillId="0" borderId="0" xfId="4" applyFont="1" applyAlignment="1">
      <alignment horizontal="center"/>
    </xf>
    <xf numFmtId="165" fontId="74" fillId="0" borderId="0" xfId="4" applyFont="1" applyAlignment="1">
      <alignment horizontal="center"/>
    </xf>
    <xf numFmtId="0" fontId="70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9" fontId="70" fillId="0" borderId="0" xfId="0" applyNumberFormat="1" applyFont="1" applyAlignment="1" applyProtection="1">
      <alignment horizontal="center"/>
      <protection locked="0"/>
    </xf>
    <xf numFmtId="167" fontId="71" fillId="0" borderId="0" xfId="0" applyNumberFormat="1" applyFont="1" applyAlignment="1" applyProtection="1">
      <alignment horizontal="center"/>
      <protection locked="0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165" fontId="74" fillId="0" borderId="0" xfId="4" applyFont="1" applyAlignment="1">
      <alignment horizontal="center" vertical="top"/>
    </xf>
    <xf numFmtId="165" fontId="68" fillId="0" borderId="0" xfId="4" applyFont="1" applyAlignment="1">
      <alignment horizontal="center" vertical="top"/>
    </xf>
    <xf numFmtId="49" fontId="70" fillId="7" borderId="40" xfId="0" applyNumberFormat="1" applyFont="1" applyFill="1" applyBorder="1" applyAlignment="1">
      <alignment horizontal="center"/>
    </xf>
    <xf numFmtId="49" fontId="70" fillId="7" borderId="39" xfId="0" applyNumberFormat="1" applyFont="1" applyFill="1" applyBorder="1" applyAlignment="1">
      <alignment horizontal="center"/>
    </xf>
    <xf numFmtId="0" fontId="69" fillId="0" borderId="29" xfId="0" applyFont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121" fillId="0" borderId="28" xfId="0" applyFont="1" applyBorder="1" applyAlignment="1">
      <alignment horizontal="center" wrapText="1"/>
    </xf>
    <xf numFmtId="0" fontId="121" fillId="0" borderId="4" xfId="0" applyFont="1" applyBorder="1" applyAlignment="1">
      <alignment horizontal="center" wrapText="1"/>
    </xf>
    <xf numFmtId="0" fontId="74" fillId="4" borderId="30" xfId="0" applyFont="1" applyFill="1" applyBorder="1" applyAlignment="1">
      <alignment horizontal="center" vertical="center" wrapText="1"/>
    </xf>
    <xf numFmtId="0" fontId="74" fillId="4" borderId="19" xfId="0" applyFont="1" applyFill="1" applyBorder="1" applyAlignment="1">
      <alignment horizontal="center" vertical="center" wrapText="1"/>
    </xf>
    <xf numFmtId="0" fontId="74" fillId="4" borderId="14" xfId="0" applyFont="1" applyFill="1" applyBorder="1" applyAlignment="1">
      <alignment horizontal="center" vertical="center" wrapText="1"/>
    </xf>
    <xf numFmtId="0" fontId="74" fillId="4" borderId="17" xfId="0" applyFont="1" applyFill="1" applyBorder="1" applyAlignment="1">
      <alignment horizontal="center" vertical="center" wrapText="1"/>
    </xf>
    <xf numFmtId="0" fontId="74" fillId="4" borderId="43" xfId="0" applyFont="1" applyFill="1" applyBorder="1" applyAlignment="1">
      <alignment horizontal="center" vertical="center" wrapText="1"/>
    </xf>
    <xf numFmtId="0" fontId="74" fillId="4" borderId="44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/>
    </xf>
    <xf numFmtId="174" fontId="79" fillId="0" borderId="0" xfId="0" applyNumberFormat="1" applyFont="1" applyAlignment="1">
      <alignment horizontal="center"/>
    </xf>
    <xf numFmtId="0" fontId="74" fillId="0" borderId="0" xfId="0" applyFont="1" applyAlignment="1">
      <alignment horizontal="center" wrapText="1"/>
    </xf>
    <xf numFmtId="0" fontId="74" fillId="4" borderId="52" xfId="0" applyFont="1" applyFill="1" applyBorder="1" applyAlignment="1">
      <alignment horizontal="center"/>
    </xf>
    <xf numFmtId="0" fontId="74" fillId="4" borderId="39" xfId="0" applyFont="1" applyFill="1" applyBorder="1" applyAlignment="1">
      <alignment horizontal="center"/>
    </xf>
    <xf numFmtId="174" fontId="74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109" fillId="9" borderId="45" xfId="0" applyFont="1" applyFill="1" applyBorder="1" applyAlignment="1">
      <alignment horizontal="center" vertical="center"/>
    </xf>
    <xf numFmtId="0" fontId="109" fillId="9" borderId="46" xfId="0" applyFont="1" applyFill="1" applyBorder="1" applyAlignment="1">
      <alignment horizontal="center" vertical="center"/>
    </xf>
    <xf numFmtId="0" fontId="109" fillId="9" borderId="48" xfId="0" applyFont="1" applyFill="1" applyBorder="1" applyAlignment="1">
      <alignment horizontal="center" vertical="center"/>
    </xf>
    <xf numFmtId="0" fontId="109" fillId="9" borderId="49" xfId="0" applyFont="1" applyFill="1" applyBorder="1" applyAlignment="1">
      <alignment horizontal="center" vertical="center"/>
    </xf>
    <xf numFmtId="0" fontId="96" fillId="0" borderId="0" xfId="0" applyFont="1" applyAlignment="1">
      <alignment horizontal="center"/>
    </xf>
    <xf numFmtId="0" fontId="74" fillId="0" borderId="0" xfId="73" applyFont="1" applyAlignment="1">
      <alignment horizontal="center"/>
    </xf>
    <xf numFmtId="174" fontId="74" fillId="0" borderId="0" xfId="73" applyNumberFormat="1" applyFont="1" applyAlignment="1">
      <alignment horizontal="center"/>
    </xf>
    <xf numFmtId="0" fontId="74" fillId="0" borderId="0" xfId="73" applyFont="1" applyAlignment="1">
      <alignment horizontal="center" vertical="center"/>
    </xf>
  </cellXfs>
  <cellStyles count="260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ipervínculo" xfId="71" builtinId="8"/>
    <cellStyle name="Millares" xfId="4" builtinId="3"/>
    <cellStyle name="Millares 10" xfId="37" xr:uid="{D55D6799-BD76-4726-ACE6-B1A828065071}"/>
    <cellStyle name="Millares 10 2" xfId="58" xr:uid="{4B8F86F0-49DB-499A-A127-7D9750FD6D38}"/>
    <cellStyle name="Millares 10 2 2" xfId="152" xr:uid="{EBD91C5C-B643-4BF6-885B-9C009430A60B}"/>
    <cellStyle name="Millares 10 3" xfId="134" xr:uid="{0F919B63-34BE-420D-B8DC-98AA51B9DA24}"/>
    <cellStyle name="Millares 11" xfId="39" xr:uid="{5B5B509D-9AB8-4DF4-9881-A5AD4E3C9292}"/>
    <cellStyle name="Millares 11 2" xfId="60" xr:uid="{E47AF4B6-51AF-4C58-90E1-485FA4EAD385}"/>
    <cellStyle name="Millares 11 2 2" xfId="154" xr:uid="{7BE4B236-99B1-4C23-8934-4BC5102B3336}"/>
    <cellStyle name="Millares 11 3" xfId="136" xr:uid="{C00B1B97-E8FF-4E40-8C75-A5CD755D9920}"/>
    <cellStyle name="Millares 12" xfId="41" xr:uid="{BAEB21BB-AEC4-4D3C-AD60-57CAEB64DB96}"/>
    <cellStyle name="Millares 12 2" xfId="62" xr:uid="{92523BE6-C024-4D2E-9E25-F311D1958EA0}"/>
    <cellStyle name="Millares 12 2 2" xfId="156" xr:uid="{254027C8-FBFB-489F-80E8-E4DF75ACD336}"/>
    <cellStyle name="Millares 12 3" xfId="138" xr:uid="{FEB8A313-BC8D-429C-8E85-1968841C771B}"/>
    <cellStyle name="Millares 13" xfId="45" xr:uid="{A2BC0D4F-BE36-48E5-B8FE-275FEC761914}"/>
    <cellStyle name="Millares 13 2" xfId="142" xr:uid="{DE4EE5C0-2A72-44B9-B371-40654453E98B}"/>
    <cellStyle name="Millares 14" xfId="47" xr:uid="{C434BAC0-B2B3-4518-84FE-EB910D2AFD49}"/>
    <cellStyle name="Millares 15" xfId="66" xr:uid="{8315EAE2-E517-4E66-9A03-1D95CA0D9FCB}"/>
    <cellStyle name="Millares 15 2" xfId="159" xr:uid="{7600F0C0-DD1C-406E-AC33-EF3FBF182E8F}"/>
    <cellStyle name="Millares 16" xfId="75" xr:uid="{C94D45F6-1FE7-4097-BA72-B395456528B7}"/>
    <cellStyle name="Millares 16 2" xfId="167" xr:uid="{FD9C7C68-D7AF-4335-983D-365E9BB7F550}"/>
    <cellStyle name="Millares 17" xfId="80" xr:uid="{C2D5CE2F-F934-41B6-9AB1-94777B34A68A}"/>
    <cellStyle name="Millares 17 2" xfId="172" xr:uid="{74A69B47-F0EC-4AC5-95A7-B0D4BF4033CA}"/>
    <cellStyle name="Millares 18" xfId="82" xr:uid="{90519D43-C2B2-44B4-92EA-156AF5041D5F}"/>
    <cellStyle name="Millares 18 2" xfId="174" xr:uid="{1F849040-051E-4A1E-883B-6A7557FB8582}"/>
    <cellStyle name="Millares 19" xfId="84" xr:uid="{D23D0A56-612B-41F8-8311-1BC3AEC86473}"/>
    <cellStyle name="Millares 19 2" xfId="176" xr:uid="{A8E88110-9B31-4CFA-8BCB-6B8174A8F1B3}"/>
    <cellStyle name="Millares 2" xfId="5" xr:uid="{00000000-0005-0000-0000-000004000000}"/>
    <cellStyle name="Millares 2 2" xfId="6" xr:uid="{00000000-0005-0000-0000-000005000000}"/>
    <cellStyle name="Millares 2 2 2" xfId="48" xr:uid="{3D3F3942-3724-4E47-8FEF-58B8F7600C38}"/>
    <cellStyle name="Millares 2 2 2 2" xfId="143" xr:uid="{DB7ECFE2-5E16-4069-83BD-3093602DDD8F}"/>
    <cellStyle name="Millares 2 2 3" xfId="124" xr:uid="{BE7D9A65-E99C-40EE-BB5C-63D05D03A244}"/>
    <cellStyle name="Millares 2 2 4" xfId="214" xr:uid="{4C9B0DA0-03AE-4080-BFDD-32E07B0B11FF}"/>
    <cellStyle name="Millares 2 2 5" xfId="225" xr:uid="{DA651846-2BCD-48F6-8065-C8C9157A1E2D}"/>
    <cellStyle name="Millares 2 2 6" xfId="249" xr:uid="{40EFEC91-817A-4519-B86C-F00DF7958141}"/>
    <cellStyle name="Millares 2 3" xfId="104" xr:uid="{3DCF24F5-E14E-4678-9585-ED34AE5479E2}"/>
    <cellStyle name="Millares 2 3 2" xfId="196" xr:uid="{D4751401-7EAC-4923-BE06-3C70B5704295}"/>
    <cellStyle name="Millares 20" xfId="89" xr:uid="{32AC816D-2D22-4B3F-B120-5A2F123CE6A3}"/>
    <cellStyle name="Millares 20 2" xfId="181" xr:uid="{ECC50AE6-152F-4941-AFBE-9956338CC09D}"/>
    <cellStyle name="Millares 21" xfId="92" xr:uid="{029046C6-9E24-4CD4-9025-FE3E564C082F}"/>
    <cellStyle name="Millares 21 2" xfId="184" xr:uid="{3BAE1369-3BEB-478E-ADB7-BB3FCFCA69E6}"/>
    <cellStyle name="Millares 22" xfId="94" xr:uid="{B19C83B2-C254-4128-B5FF-6DEA0DCB56A1}"/>
    <cellStyle name="Millares 22 2" xfId="186" xr:uid="{ECC5D1F0-B13E-48B6-BBE2-7ECFF8F8682F}"/>
    <cellStyle name="Millares 23" xfId="97" xr:uid="{CC0BE51A-DE50-4486-B47A-9582AFCAD003}"/>
    <cellStyle name="Millares 23 2" xfId="189" xr:uid="{6255356B-4769-403F-B758-DB9BBF353AD3}"/>
    <cellStyle name="Millares 24" xfId="99" xr:uid="{D69E24A2-9B29-47B7-BFB5-34D2E9D7B2B0}"/>
    <cellStyle name="Millares 24 2" xfId="191" xr:uid="{4C3F2FD9-5114-4A71-AD9F-51061D3A908B}"/>
    <cellStyle name="Millares 25" xfId="101" xr:uid="{5F6854C2-801E-4A89-865C-FCACEDA07700}"/>
    <cellStyle name="Millares 25 2" xfId="193" xr:uid="{B431B26D-EE3D-4D8A-B2E1-2EA0FFE1F755}"/>
    <cellStyle name="Millares 26" xfId="103" xr:uid="{610A5C84-8C79-46B9-89B4-A85C95CC0A78}"/>
    <cellStyle name="Millares 26 2" xfId="195" xr:uid="{3A99C210-25C9-4EA8-8A5A-9F598F64D323}"/>
    <cellStyle name="Millares 27" xfId="107" xr:uid="{23B8A0A4-0CA0-4F34-99CB-305484206450}"/>
    <cellStyle name="Millares 27 2" xfId="198" xr:uid="{C7E58F4B-F0D5-4B27-9AB7-5AB891EFC223}"/>
    <cellStyle name="Millares 28" xfId="111" xr:uid="{716665AC-3E85-42C9-BD62-9F4F94638E4B}"/>
    <cellStyle name="Millares 28 2" xfId="202" xr:uid="{5266F5FF-DECE-490A-8FF7-84EA68979F42}"/>
    <cellStyle name="Millares 29" xfId="114" xr:uid="{1EEF75EA-41A1-43A6-93F5-2A3116F0A5AA}"/>
    <cellStyle name="Millares 29 2" xfId="205" xr:uid="{7B77A57E-C735-47A2-8189-2DCC5CE4DBB1}"/>
    <cellStyle name="Millares 3" xfId="7" xr:uid="{00000000-0005-0000-0000-000006000000}"/>
    <cellStyle name="Millares 3 2" xfId="8" xr:uid="{00000000-0005-0000-0000-000007000000}"/>
    <cellStyle name="Millares 3 3" xfId="49" xr:uid="{2162B24E-46A6-41C2-9F5E-146B52AC2F23}"/>
    <cellStyle name="Millares 3 3 2" xfId="144" xr:uid="{4BB50F19-8637-4C4A-88FF-EF5E333862C1}"/>
    <cellStyle name="Millares 3 4" xfId="125" xr:uid="{DC439D84-4F66-48B3-AECB-EF51C89CB0CC}"/>
    <cellStyle name="Millares 3 5" xfId="217" xr:uid="{4E0877CD-05A9-473C-B5EC-D9D69A10158F}"/>
    <cellStyle name="Millares 3 6" xfId="226" xr:uid="{2AC1000B-317A-401A-B206-D5FBFC6DF1C6}"/>
    <cellStyle name="Millares 3 7" xfId="250" xr:uid="{68C88A84-A496-48C7-8C15-296D2C13938C}"/>
    <cellStyle name="Millares 30" xfId="116" xr:uid="{C7E1DAE8-9FE7-42A2-B7C5-671C0EB9B84E}"/>
    <cellStyle name="Millares 30 2" xfId="207" xr:uid="{6E878B00-9932-4360-846D-B16AE7C152B2}"/>
    <cellStyle name="Millares 31" xfId="119" xr:uid="{BDFD042F-B23D-4184-A08B-EF90A9826A2C}"/>
    <cellStyle name="Millares 31 2" xfId="210" xr:uid="{DF50D96B-AEC5-4C12-87AB-A785EC31EDE0}"/>
    <cellStyle name="Millares 32" xfId="123" xr:uid="{3A30E84C-3EF0-4F69-B5F3-D8035A3D1B80}"/>
    <cellStyle name="Millares 33" xfId="213" xr:uid="{F5EAD676-EB10-4CCB-A816-8B7F4B661D6A}"/>
    <cellStyle name="Millares 34" xfId="224" xr:uid="{E701C537-04E2-4099-91A3-973FB108F574}"/>
    <cellStyle name="Millares 35" xfId="234" xr:uid="{B8B25F57-F4A8-4B9E-8EE3-EA4F93BC496D}"/>
    <cellStyle name="Millares 36" xfId="235" xr:uid="{F07EEC34-F6B5-4080-9EF3-CE4AC2874265}"/>
    <cellStyle name="Millares 37" xfId="237" xr:uid="{2A17425C-9209-48A1-B61E-A208BA69AF67}"/>
    <cellStyle name="Millares 38" xfId="239" xr:uid="{DF55E476-9757-4EB4-88F2-2C7F594C141F}"/>
    <cellStyle name="Millares 39" xfId="242" xr:uid="{87E68C88-BED0-4500-8E23-B7DADF66947B}"/>
    <cellStyle name="Millares 4" xfId="9" xr:uid="{00000000-0005-0000-0000-000008000000}"/>
    <cellStyle name="Millares 4 2" xfId="50" xr:uid="{437B2D42-4C88-43BF-8725-9B2E20FF7969}"/>
    <cellStyle name="Millares 4 2 2" xfId="145" xr:uid="{08EB03DD-D035-4C4B-9DBD-166965D5BA8A}"/>
    <cellStyle name="Millares 4 3" xfId="126" xr:uid="{D2F683CE-E4DC-44C0-8016-3354E2E495C5}"/>
    <cellStyle name="Millares 4 4" xfId="218" xr:uid="{82299CA8-7FA9-45C1-804D-5696104D63DA}"/>
    <cellStyle name="Millares 4 5" xfId="227" xr:uid="{9D58F37B-11B7-42B4-980D-15C036C9DE8A}"/>
    <cellStyle name="Millares 4 6" xfId="251" xr:uid="{850BB167-C995-4DB6-8D2F-D50F83AA21C0}"/>
    <cellStyle name="Millares 40" xfId="245" xr:uid="{DE17601E-7DDE-4C83-85B2-8C802C5CF2BD}"/>
    <cellStyle name="Millares 41" xfId="248" xr:uid="{26484287-BB86-4278-898C-B989A1CE92CE}"/>
    <cellStyle name="Millares 42" xfId="257" xr:uid="{3324A468-C513-4002-8920-94C721933FB4}"/>
    <cellStyle name="Millares 43" xfId="259" xr:uid="{A032A69D-7B1B-45D7-BC63-DCCC42585AAA}"/>
    <cellStyle name="Millares 5" xfId="10" xr:uid="{00000000-0005-0000-0000-000009000000}"/>
    <cellStyle name="Millares 6" xfId="11" xr:uid="{00000000-0005-0000-0000-00000A000000}"/>
    <cellStyle name="Millares 7" xfId="12" xr:uid="{00000000-0005-0000-0000-00000B000000}"/>
    <cellStyle name="Millares 8" xfId="13" xr:uid="{00000000-0005-0000-0000-00000C000000}"/>
    <cellStyle name="Millares 9" xfId="35" xr:uid="{3941AF9B-A336-4620-AF81-8C657CC57506}"/>
    <cellStyle name="Millares 9 2" xfId="56" xr:uid="{3C4EBC09-3968-4A32-91F4-6A964129F84B}"/>
    <cellStyle name="Millares 9 2 2" xfId="150" xr:uid="{36216394-05E9-4C53-BFBA-0CE7FC2807E5}"/>
    <cellStyle name="Millares 9 3" xfId="132" xr:uid="{16363AA7-E54E-433D-B288-E32BFB8E1846}"/>
    <cellStyle name="Millares 9 4" xfId="216" xr:uid="{02BE67DD-67DF-4719-B469-FA132FECC560}"/>
    <cellStyle name="Neutral" xfId="14" builtinId="28" customBuiltin="1"/>
    <cellStyle name="Neutral 2" xfId="15" xr:uid="{00000000-0005-0000-0000-00000E000000}"/>
    <cellStyle name="Neutral 3" xfId="16" xr:uid="{00000000-0005-0000-0000-00000F000000}"/>
    <cellStyle name="Neutral 4" xfId="17" xr:uid="{00000000-0005-0000-0000-000010000000}"/>
    <cellStyle name="Neutral 5" xfId="51" xr:uid="{D50E872E-0A51-45F8-8951-AE33D4734264}"/>
    <cellStyle name="Neutral 6" xfId="127" xr:uid="{F416B69E-0283-46C3-8B75-0600DDB5CFC4}"/>
    <cellStyle name="Normal" xfId="0" builtinId="0"/>
    <cellStyle name="Normal 10" xfId="34" xr:uid="{E04F89B1-EF61-4914-BE1D-A1E329EE39E7}"/>
    <cellStyle name="Normal 10 2" xfId="55" xr:uid="{31BCE0C6-972A-4667-9990-B6DD85AF5F9E}"/>
    <cellStyle name="Normal 10 2 2" xfId="149" xr:uid="{8C3FA9D2-C91A-4A1B-A942-1CF014C0AC54}"/>
    <cellStyle name="Normal 10 3" xfId="131" xr:uid="{C841890C-5670-41B5-887E-36829305194F}"/>
    <cellStyle name="Normal 10 4" xfId="215" xr:uid="{C5AD5E60-8807-49DE-AA9D-51BCB3CCB1B8}"/>
    <cellStyle name="Normal 11" xfId="36" xr:uid="{EDB1C418-3321-4737-AC24-AF2AE5DB851E}"/>
    <cellStyle name="Normal 11 2" xfId="57" xr:uid="{ABF60EF6-76F1-4CE3-920E-B0175DBB6D30}"/>
    <cellStyle name="Normal 11 2 2" xfId="151" xr:uid="{8B4E2DCC-09EA-4311-9D4B-9CF42CA8EDDF}"/>
    <cellStyle name="Normal 11 3" xfId="133" xr:uid="{0252620A-8759-4134-905D-03E34C484A4B}"/>
    <cellStyle name="Normal 12" xfId="38" xr:uid="{6474D8C7-2DE9-49EB-82E3-C4D36D311CBE}"/>
    <cellStyle name="Normal 12 2" xfId="59" xr:uid="{B39D459C-660D-4F5A-9CCF-1B574A7D9334}"/>
    <cellStyle name="Normal 12 2 2" xfId="153" xr:uid="{84F74D6A-A1B8-4FAB-83EE-3B460777FFC5}"/>
    <cellStyle name="Normal 12 3" xfId="135" xr:uid="{46ACFF06-3EB9-4367-857C-4F24505FAD5F}"/>
    <cellStyle name="Normal 13" xfId="40" xr:uid="{1E46AC84-C99B-4EA2-A02F-EF8081FE2A6C}"/>
    <cellStyle name="Normal 13 2" xfId="61" xr:uid="{980C3498-99E5-4F3F-B153-D8B4E7EAE751}"/>
    <cellStyle name="Normal 13 2 2" xfId="155" xr:uid="{FFAB2655-9353-4753-9CD4-80F34790BA0B}"/>
    <cellStyle name="Normal 13 3" xfId="137" xr:uid="{93C40290-4F7C-4469-A46E-9DC18E01351C}"/>
    <cellStyle name="Normal 14" xfId="42" xr:uid="{0CFDF507-0FDD-48B5-BC4C-838E0110546E}"/>
    <cellStyle name="Normal 14 2" xfId="63" xr:uid="{18FC5DC5-5304-4BA6-A817-CB2AA992D259}"/>
    <cellStyle name="Normal 14 2 2" xfId="157" xr:uid="{B4DAE556-D7F7-4C78-82C9-738A8BB01013}"/>
    <cellStyle name="Normal 14 3" xfId="139" xr:uid="{43A2D6AC-91A3-4AA1-A558-7A9857B0C9E9}"/>
    <cellStyle name="Normal 15" xfId="44" xr:uid="{A0636C0B-2857-4AAB-A8CE-C0860B85E462}"/>
    <cellStyle name="Normal 15 2" xfId="141" xr:uid="{BA0E7371-F158-423A-9A00-99148BBBAF12}"/>
    <cellStyle name="Normal 16" xfId="46" xr:uid="{1F52BDE2-3493-4F96-BBE2-BE15ECA121ED}"/>
    <cellStyle name="Normal 17" xfId="65" xr:uid="{38455323-2778-4DD5-B70E-091ABDBA667A}"/>
    <cellStyle name="Normal 17 2" xfId="158" xr:uid="{BB4E60C7-FC61-46FB-9C5D-FD70AC235F89}"/>
    <cellStyle name="Normal 18" xfId="67" xr:uid="{A3D0F39C-7CD5-43D5-AE02-F71CBA12128D}"/>
    <cellStyle name="Normal 18 2" xfId="160" xr:uid="{E8F2B643-DC0D-4B0F-A1A3-898E392B8982}"/>
    <cellStyle name="Normal 19" xfId="68" xr:uid="{722C0F25-6439-46AA-8C11-7AAC6575BF45}"/>
    <cellStyle name="Normal 19 2" xfId="161" xr:uid="{9F90EEB8-4FFA-42D9-945B-894D5018B6BE}"/>
    <cellStyle name="Normal 2" xfId="18" xr:uid="{00000000-0005-0000-0000-000012000000}"/>
    <cellStyle name="Normal 2 2" xfId="19" xr:uid="{00000000-0005-0000-0000-000013000000}"/>
    <cellStyle name="Normal 2 3" xfId="52" xr:uid="{25F5EF07-2880-40AF-8031-4324C2E75C6D}"/>
    <cellStyle name="Normal 2 3 2" xfId="146" xr:uid="{C297A495-53D3-4097-8323-6CE46CF8B9A6}"/>
    <cellStyle name="Normal 2 4" xfId="128" xr:uid="{BBFA0791-0F8B-46CA-9105-7243B9152CDC}"/>
    <cellStyle name="Normal 2 5" xfId="219" xr:uid="{0F34F3D7-0BBA-46B4-9E1B-5F2885A27E46}"/>
    <cellStyle name="Normal 2 6" xfId="228" xr:uid="{1500CC18-DF48-4907-8E63-B082A8345953}"/>
    <cellStyle name="Normal 2 7" xfId="252" xr:uid="{49058663-2D95-4565-A75E-4FEEE1162A84}"/>
    <cellStyle name="Normal 20" xfId="69" xr:uid="{0A3EA1A7-17CE-4475-ABA9-1EC22DEC391E}"/>
    <cellStyle name="Normal 20 2" xfId="162" xr:uid="{D2EAAE7A-6DB6-4DBE-A4C7-964BE6911E02}"/>
    <cellStyle name="Normal 21" xfId="70" xr:uid="{D7D0A16A-D249-4DF2-914B-FCA6C7BF012C}"/>
    <cellStyle name="Normal 21 2" xfId="163" xr:uid="{D0AF6B44-5394-4057-A741-A5A626511394}"/>
    <cellStyle name="Normal 22" xfId="72" xr:uid="{69E254AD-17B2-4EDB-B4CB-4D5C4AD004E9}"/>
    <cellStyle name="Normal 22 2" xfId="164" xr:uid="{22192C67-BCB0-44D1-BFA6-C2906B156C6E}"/>
    <cellStyle name="Normal 23" xfId="73" xr:uid="{02E882ED-F88D-4E72-9581-5A9200992F0F}"/>
    <cellStyle name="Normal 23 2" xfId="165" xr:uid="{8D913D05-C597-42D2-8A90-F422FCDEC2ED}"/>
    <cellStyle name="Normal 24" xfId="74" xr:uid="{8386891C-F52F-4869-A770-8B835B4D1B16}"/>
    <cellStyle name="Normal 24 2" xfId="166" xr:uid="{96F24855-8137-429D-A022-ED6DD5B075CE}"/>
    <cellStyle name="Normal 25" xfId="76" xr:uid="{92FF0303-4385-4E5D-AE26-32251776F3A4}"/>
    <cellStyle name="Normal 25 2" xfId="168" xr:uid="{9A603830-FF5F-4F93-8B66-79021BE6B459}"/>
    <cellStyle name="Normal 26" xfId="77" xr:uid="{2D57C5A9-25B9-443B-BA72-CD910F4A207A}"/>
    <cellStyle name="Normal 26 2" xfId="169" xr:uid="{0D06CCE1-E0F5-4035-8114-12B7A6FB0C6E}"/>
    <cellStyle name="Normal 27" xfId="78" xr:uid="{91279FDA-5433-41C2-93E4-0474D4606355}"/>
    <cellStyle name="Normal 27 2" xfId="170" xr:uid="{458CCB5E-8361-4DF4-8F53-F8E4BA502F9D}"/>
    <cellStyle name="Normal 28" xfId="79" xr:uid="{68164A4A-D04E-4667-B4B4-078940DE8E98}"/>
    <cellStyle name="Normal 28 2" xfId="171" xr:uid="{35FD2C55-7A1B-4413-838C-A82C4ED77E54}"/>
    <cellStyle name="Normal 29" xfId="81" xr:uid="{6026E065-E7F9-4C95-9CC2-456E0C3874E4}"/>
    <cellStyle name="Normal 29 2" xfId="173" xr:uid="{C2AAC111-DC92-4456-85B5-78D4170CAFE9}"/>
    <cellStyle name="Normal 3" xfId="20" xr:uid="{00000000-0005-0000-0000-000014000000}"/>
    <cellStyle name="Normal 3 2" xfId="21" xr:uid="{00000000-0005-0000-0000-000015000000}"/>
    <cellStyle name="Normal 30" xfId="83" xr:uid="{B2A23DC0-2BE1-4825-855E-7232814C84AB}"/>
    <cellStyle name="Normal 30 2" xfId="175" xr:uid="{0DFD1FDF-67AB-427C-9867-610DA3153C7C}"/>
    <cellStyle name="Normal 31" xfId="85" xr:uid="{4A1A3462-277F-4DF6-9BBE-0E60A1466CFB}"/>
    <cellStyle name="Normal 31 2" xfId="177" xr:uid="{2D19E9B0-E57E-463B-A233-10A8C3302B8C}"/>
    <cellStyle name="Normal 32" xfId="86" xr:uid="{503FCC98-F518-4BD9-AED2-608C30B091E7}"/>
    <cellStyle name="Normal 32 2" xfId="178" xr:uid="{1979415B-3F93-4F58-870E-DADD114B4008}"/>
    <cellStyle name="Normal 33" xfId="87" xr:uid="{6EA8695C-63B1-4B22-A082-F5B8A22DBB5C}"/>
    <cellStyle name="Normal 33 2" xfId="179" xr:uid="{54C05449-4894-4BF9-9A21-131E52D14036}"/>
    <cellStyle name="Normal 34" xfId="88" xr:uid="{E2E5EE60-DB31-4290-AE8B-EC5DB86E2DE8}"/>
    <cellStyle name="Normal 34 2" xfId="180" xr:uid="{2C046E18-866A-4D97-A810-61EC4087FBFB}"/>
    <cellStyle name="Normal 35" xfId="90" xr:uid="{729209BA-35F8-446F-A2D1-0AE9AEF0BCF5}"/>
    <cellStyle name="Normal 35 2" xfId="182" xr:uid="{61718FFB-E5A5-4974-A8EB-2EC14F2F420E}"/>
    <cellStyle name="Normal 36" xfId="91" xr:uid="{031C6E6E-778B-445C-B89E-90D9FAF085BF}"/>
    <cellStyle name="Normal 36 2" xfId="183" xr:uid="{F4FB4CBE-B837-4A72-8455-21C683AA5BE5}"/>
    <cellStyle name="Normal 37" xfId="93" xr:uid="{B59A7B26-31F7-4E1C-9E0E-18D4F41BC1B6}"/>
    <cellStyle name="Normal 37 2" xfId="185" xr:uid="{BF141F02-85A7-4D43-93F2-164BF30BD47A}"/>
    <cellStyle name="Normal 38" xfId="95" xr:uid="{3A9D785D-F97E-4FD7-B11B-B6DC1E1C7132}"/>
    <cellStyle name="Normal 38 2" xfId="187" xr:uid="{6E7DA4D6-F24C-41B4-A365-91BD8BA2733B}"/>
    <cellStyle name="Normal 39" xfId="96" xr:uid="{AF4E2B33-5F45-42A9-8363-E693C4492C9A}"/>
    <cellStyle name="Normal 39 2" xfId="188" xr:uid="{354DDB7D-959F-4733-A762-9B61F61EB1D7}"/>
    <cellStyle name="Normal 4" xfId="22" xr:uid="{00000000-0005-0000-0000-000016000000}"/>
    <cellStyle name="Normal 4 2" xfId="105" xr:uid="{F83DAAC9-335F-4B15-A9EE-11C1BA141C52}"/>
    <cellStyle name="Normal 40" xfId="98" xr:uid="{06413C40-90DB-43DD-BFFE-BE565C770A60}"/>
    <cellStyle name="Normal 40 2" xfId="190" xr:uid="{78A8F82F-4685-4A66-BDA5-747646E0FE95}"/>
    <cellStyle name="Normal 41" xfId="100" xr:uid="{91F0F732-DB2A-469E-BAA1-E0A229B5C1F6}"/>
    <cellStyle name="Normal 41 2" xfId="192" xr:uid="{5367D1C6-FD60-4209-ACBE-2B83CB8DFD51}"/>
    <cellStyle name="Normal 42" xfId="102" xr:uid="{E947A599-837B-4EAD-87AD-778208F24390}"/>
    <cellStyle name="Normal 42 2" xfId="194" xr:uid="{7329A99E-7A1F-457D-86C8-BB9C38C60BED}"/>
    <cellStyle name="Normal 43" xfId="106" xr:uid="{4DE510E4-C649-4BF7-BA27-E2197C4CEE53}"/>
    <cellStyle name="Normal 43 2" xfId="197" xr:uid="{E5F0546B-9F28-426C-BF94-5443F600B114}"/>
    <cellStyle name="Normal 44" xfId="108" xr:uid="{7CB1A869-2049-4CDF-BE9A-C43B7E6D4DE0}"/>
    <cellStyle name="Normal 44 2" xfId="199" xr:uid="{355FACCE-7864-48DB-8DDE-3A5E02C768A6}"/>
    <cellStyle name="Normal 45" xfId="109" xr:uid="{93F21555-EFB3-4302-9244-D9E0E498DF36}"/>
    <cellStyle name="Normal 45 2" xfId="200" xr:uid="{7EB1825C-8121-4776-B8D8-E68AC8EEEBDA}"/>
    <cellStyle name="Normal 46" xfId="110" xr:uid="{102AEE49-68F6-4F47-916F-C71F61229F42}"/>
    <cellStyle name="Normal 46 2" xfId="201" xr:uid="{0AD77299-2167-4902-841D-1E482A6DF76F}"/>
    <cellStyle name="Normal 47" xfId="112" xr:uid="{7C2CC7F7-1F72-4338-8FF3-1A5129B58AB6}"/>
    <cellStyle name="Normal 47 2" xfId="203" xr:uid="{64D1B10B-1737-4385-8140-E0687AAE311B}"/>
    <cellStyle name="Normal 48" xfId="113" xr:uid="{6E86CE84-A453-48C6-8A02-9F931393F417}"/>
    <cellStyle name="Normal 48 2" xfId="204" xr:uid="{55B779CF-6674-4D1B-8251-6A2C3EEB1A00}"/>
    <cellStyle name="Normal 49" xfId="115" xr:uid="{00B18183-3E71-4CBD-929A-2FAA1643D14E}"/>
    <cellStyle name="Normal 49 2" xfId="206" xr:uid="{B394B30F-FB5B-4EEB-8146-0F5BC21A98DA}"/>
    <cellStyle name="Normal 5" xfId="23" xr:uid="{00000000-0005-0000-0000-000017000000}"/>
    <cellStyle name="Normal 50" xfId="117" xr:uid="{4FD3C820-C82B-479A-83AA-249BC019411A}"/>
    <cellStyle name="Normal 50 2" xfId="208" xr:uid="{39AD08C7-01AA-4A26-B967-1D9C9935F767}"/>
    <cellStyle name="Normal 51" xfId="118" xr:uid="{C6B8CB16-6B83-42C5-A4F5-3D6B6672D8F0}"/>
    <cellStyle name="Normal 51 2" xfId="209" xr:uid="{00651E05-4F0E-4103-AF65-09205B922FC8}"/>
    <cellStyle name="Normal 52" xfId="120" xr:uid="{6EEE07CE-0624-446F-BC28-8E922E3F97DD}"/>
    <cellStyle name="Normal 52 2" xfId="211" xr:uid="{4F673EEB-6CA8-4CA9-B71F-5AC4312910DE}"/>
    <cellStyle name="Normal 53" xfId="122" xr:uid="{340D2563-B432-444F-9771-6864301C9340}"/>
    <cellStyle name="Normal 54" xfId="121" xr:uid="{96AA2BEA-57E7-4B54-A8DC-47CE098913DE}"/>
    <cellStyle name="Normal 55" xfId="212" xr:uid="{22FAECAB-E30B-4667-B009-A87DF59E8667}"/>
    <cellStyle name="Normal 56" xfId="223" xr:uid="{0B30A95D-FD02-494E-BBA9-45B83F2707F4}"/>
    <cellStyle name="Normal 57" xfId="232" xr:uid="{9028ED27-00CC-421A-A55B-E2A9DC62EE83}"/>
    <cellStyle name="Normal 58" xfId="233" xr:uid="{A3A2D886-E55A-452E-ACEA-89373C1A0CE9}"/>
    <cellStyle name="Normal 59" xfId="236" xr:uid="{EF45F508-FE6E-474D-8F9D-E45D8209EDC2}"/>
    <cellStyle name="Normal 6" xfId="24" xr:uid="{00000000-0005-0000-0000-000018000000}"/>
    <cellStyle name="Normal 60" xfId="238" xr:uid="{1C5A64AC-EF04-4F7B-AA97-B576E4D5B035}"/>
    <cellStyle name="Normal 61" xfId="240" xr:uid="{8B786B94-908E-4899-AE3D-FE83562F1647}"/>
    <cellStyle name="Normal 62" xfId="241" xr:uid="{D8024FFD-C71A-48A4-B0E1-15C48B93D1EB}"/>
    <cellStyle name="Normal 63" xfId="243" xr:uid="{7AEEA671-4034-4C56-8113-FAF7EF8E0B67}"/>
    <cellStyle name="Normal 64" xfId="244" xr:uid="{6CDF62EB-1EFB-40D1-B1FE-3272BC124CDB}"/>
    <cellStyle name="Normal 65" xfId="246" xr:uid="{DA81AFA8-0578-4770-B749-563F4EE1342B}"/>
    <cellStyle name="Normal 66" xfId="247" xr:uid="{F6B10F23-1D98-41E5-88EE-0D77A67DD1D3}"/>
    <cellStyle name="Normal 67" xfId="256" xr:uid="{0F47A3AD-5F5A-4E12-97B3-A67EDC3BA1BE}"/>
    <cellStyle name="Normal 68" xfId="258" xr:uid="{66FE925A-BDF4-42C5-8426-FAA490D4CB49}"/>
    <cellStyle name="Normal 7" xfId="25" xr:uid="{00000000-0005-0000-0000-000019000000}"/>
    <cellStyle name="Normal 8" xfId="26" xr:uid="{00000000-0005-0000-0000-00001A000000}"/>
    <cellStyle name="Normal 9" xfId="27" xr:uid="{00000000-0005-0000-0000-00001B000000}"/>
    <cellStyle name="Normal 9 2" xfId="28" xr:uid="{00000000-0005-0000-0000-00001C000000}"/>
    <cellStyle name="Notas 2" xfId="29" xr:uid="{00000000-0005-0000-0000-00001D000000}"/>
    <cellStyle name="Notas 3" xfId="30" xr:uid="{00000000-0005-0000-0000-00001E000000}"/>
    <cellStyle name="Notas 3 2" xfId="53" xr:uid="{510070E2-7F9B-4A88-A7AE-8D34DB12ADC5}"/>
    <cellStyle name="Notas 3 2 2" xfId="147" xr:uid="{B5F14D3E-5F56-44CA-8AC2-272836168F0B}"/>
    <cellStyle name="Notas 3 3" xfId="129" xr:uid="{7C62F2DE-5A05-4D70-918B-AD85357D8CE9}"/>
    <cellStyle name="Notas 3 4" xfId="220" xr:uid="{B3D3832A-4181-42F3-BB7D-AE4359069659}"/>
    <cellStyle name="Notas 3 5" xfId="229" xr:uid="{AEE5CEB4-9B65-4A84-93A0-7919DCC93146}"/>
    <cellStyle name="Notas 3 6" xfId="253" xr:uid="{0FDC18FA-B7C7-44BA-A17E-D5ACB15725C5}"/>
    <cellStyle name="Porcentaje" xfId="43" builtinId="5"/>
    <cellStyle name="Porcentaje 2" xfId="31" xr:uid="{00000000-0005-0000-0000-00001F000000}"/>
    <cellStyle name="Porcentaje 2 2" xfId="54" xr:uid="{C1EE2176-2734-455F-9339-7690A795A6E8}"/>
    <cellStyle name="Porcentaje 2 2 2" xfId="148" xr:uid="{DF1B9A60-6850-44DE-96AE-290DDE9B3772}"/>
    <cellStyle name="Porcentaje 2 3" xfId="130" xr:uid="{691668FD-2CC0-44FB-B239-A9181D795A95}"/>
    <cellStyle name="Porcentaje 2 4" xfId="221" xr:uid="{E28AED5D-8501-49C3-99CF-D5CC2D151501}"/>
    <cellStyle name="Porcentaje 2 5" xfId="230" xr:uid="{D2700C39-DD6E-4A13-BADF-DC19E82A94AD}"/>
    <cellStyle name="Porcentaje 2 6" xfId="254" xr:uid="{BD52DCFC-7C2E-445B-9EBD-5C7846046113}"/>
    <cellStyle name="Porcentaje 3" xfId="64" xr:uid="{7BCF2219-F659-4C58-8683-05B7FA979DE7}"/>
    <cellStyle name="Porcentaje 4" xfId="140" xr:uid="{8FF4D8C9-856F-428D-8317-5846C1D22FB4}"/>
    <cellStyle name="Porcentaje 5" xfId="222" xr:uid="{18C5605D-A826-44BC-8D81-1C5A5215B79F}"/>
    <cellStyle name="Porcentaje 6" xfId="231" xr:uid="{BA78F924-669A-4309-9ECD-7D041EE22FA4}"/>
    <cellStyle name="Porcentaje 7" xfId="255" xr:uid="{02BE1856-F2E9-4B25-A3CB-E6BFE4F9AE24}"/>
    <cellStyle name="Título 4" xfId="32" xr:uid="{00000000-0005-0000-0000-000020000000}"/>
    <cellStyle name="Total" xfId="33" builtinId="25" customBuiltin="1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82550</xdr:colOff>
      <xdr:row>4</xdr:row>
      <xdr:rowOff>47625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383886</xdr:colOff>
      <xdr:row>54</xdr:row>
      <xdr:rowOff>108047</xdr:rowOff>
    </xdr:from>
    <xdr:to>
      <xdr:col>0</xdr:col>
      <xdr:colOff>2566443</xdr:colOff>
      <xdr:row>54</xdr:row>
      <xdr:rowOff>126337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86" y="1207779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491741</xdr:colOff>
      <xdr:row>60</xdr:row>
      <xdr:rowOff>146916</xdr:rowOff>
    </xdr:from>
    <xdr:to>
      <xdr:col>3</xdr:col>
      <xdr:colOff>102548</xdr:colOff>
      <xdr:row>60</xdr:row>
      <xdr:rowOff>165206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0991" y="13339041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783166</xdr:colOff>
      <xdr:row>54</xdr:row>
      <xdr:rowOff>95250</xdr:rowOff>
    </xdr:from>
    <xdr:to>
      <xdr:col>4</xdr:col>
      <xdr:colOff>1007806</xdr:colOff>
      <xdr:row>54</xdr:row>
      <xdr:rowOff>113540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7A992E-3BA1-4DE9-9342-FCAF7E68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4166" y="11715750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159808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2690557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1159148</xdr:colOff>
      <xdr:row>42</xdr:row>
      <xdr:rowOff>177039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4083" y="10816166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3</xdr:col>
      <xdr:colOff>53191</xdr:colOff>
      <xdr:row>47</xdr:row>
      <xdr:rowOff>170689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0817" y="122279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93085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78593"/>
          <a:ext cx="3479006" cy="72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3</xdr:row>
      <xdr:rowOff>159544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3071813</xdr:colOff>
      <xdr:row>2</xdr:row>
      <xdr:rowOff>193810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9912" cy="63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274108</xdr:colOff>
      <xdr:row>0</xdr:row>
      <xdr:rowOff>102659</xdr:rowOff>
    </xdr:from>
    <xdr:to>
      <xdr:col>1</xdr:col>
      <xdr:colOff>2189691</xdr:colOff>
      <xdr:row>2</xdr:row>
      <xdr:rowOff>35984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8" y="102659"/>
          <a:ext cx="2286000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180975</xdr:rowOff>
    </xdr:from>
    <xdr:to>
      <xdr:col>1</xdr:col>
      <xdr:colOff>1743075</xdr:colOff>
      <xdr:row>2</xdr:row>
      <xdr:rowOff>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197644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1981200</xdr:colOff>
      <xdr:row>2</xdr:row>
      <xdr:rowOff>228600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1</xdr:row>
      <xdr:rowOff>209550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2162175</xdr:colOff>
      <xdr:row>2</xdr:row>
      <xdr:rowOff>9525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96309</xdr:colOff>
      <xdr:row>1</xdr:row>
      <xdr:rowOff>23284</xdr:rowOff>
    </xdr:from>
    <xdr:to>
      <xdr:col>1</xdr:col>
      <xdr:colOff>1820333</xdr:colOff>
      <xdr:row>2</xdr:row>
      <xdr:rowOff>291963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6" y="340784"/>
          <a:ext cx="1724024" cy="58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2038350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135082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5846BA9-2CD3-4BD9-A901-BDF12478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19050</xdr:rowOff>
    </xdr:from>
    <xdr:to>
      <xdr:col>1</xdr:col>
      <xdr:colOff>1981200</xdr:colOff>
      <xdr:row>3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142875</xdr:rowOff>
    </xdr:from>
    <xdr:to>
      <xdr:col>1</xdr:col>
      <xdr:colOff>2057400</xdr:colOff>
      <xdr:row>3</xdr:row>
      <xdr:rowOff>152400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942A7CC-DA7E-4BB4-91AB-6975AEA1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704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1981200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95250</xdr:rowOff>
    </xdr:from>
    <xdr:to>
      <xdr:col>1</xdr:col>
      <xdr:colOff>1790701</xdr:colOff>
      <xdr:row>4</xdr:row>
      <xdr:rowOff>72166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9152-FB51-4116-8898-542FA58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5717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7</xdr:row>
      <xdr:rowOff>171450</xdr:rowOff>
    </xdr:from>
    <xdr:to>
      <xdr:col>7</xdr:col>
      <xdr:colOff>57150</xdr:colOff>
      <xdr:row>9</xdr:row>
      <xdr:rowOff>119791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046AB8-C8E9-46A5-83BC-7A12C45C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0492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0</xdr:rowOff>
    </xdr:from>
    <xdr:to>
      <xdr:col>2</xdr:col>
      <xdr:colOff>576748</xdr:colOff>
      <xdr:row>3</xdr:row>
      <xdr:rowOff>99138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7" y="0"/>
          <a:ext cx="2343345" cy="68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1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64559</xdr:colOff>
      <xdr:row>32</xdr:row>
      <xdr:rowOff>118534</xdr:rowOff>
    </xdr:from>
    <xdr:to>
      <xdr:col>1</xdr:col>
      <xdr:colOff>1883834</xdr:colOff>
      <xdr:row>33</xdr:row>
      <xdr:rowOff>267759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2" y="9791701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96310</xdr:colOff>
      <xdr:row>67</xdr:row>
      <xdr:rowOff>115359</xdr:rowOff>
    </xdr:from>
    <xdr:ext cx="1819275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E08C6E16-7497-4A44-9154-035931D8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43" y="20403609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103</xdr:row>
      <xdr:rowOff>142875</xdr:rowOff>
    </xdr:from>
    <xdr:ext cx="1819275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8A3623C0-0200-48CF-BF1D-FA8A49A4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37447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62442</xdr:rowOff>
    </xdr:from>
    <xdr:to>
      <xdr:col>1</xdr:col>
      <xdr:colOff>2063750</xdr:colOff>
      <xdr:row>1</xdr:row>
      <xdr:rowOff>275167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82E2B53-8CB7-4DB8-A4ED-63C43A4FA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2442"/>
          <a:ext cx="20193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244476</xdr:colOff>
      <xdr:row>29</xdr:row>
      <xdr:rowOff>84668</xdr:rowOff>
    </xdr:from>
    <xdr:ext cx="1819275" cy="466725"/>
    <xdr:pic>
      <xdr:nvPicPr>
        <xdr:cNvPr id="6" name="Imagen 5">
          <a:extLst>
            <a:ext uri="{FF2B5EF4-FFF2-40B4-BE49-F238E27FC236}">
              <a16:creationId xmlns:a16="http://schemas.microsoft.com/office/drawing/2014/main" id="{07D52B5C-8E53-49F8-AB57-954376ED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966258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49741</xdr:colOff>
      <xdr:row>0</xdr:row>
      <xdr:rowOff>21167</xdr:rowOff>
    </xdr:from>
    <xdr:ext cx="2019300" cy="533400"/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" y="211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101600</xdr:rowOff>
    </xdr:from>
    <xdr:ext cx="2019300" cy="533400"/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27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2019300" cy="533400"/>
    <xdr:pic>
      <xdr:nvPicPr>
        <xdr:cNvPr id="2" name="Imagen 5">
          <a:extLst>
            <a:ext uri="{FF2B5EF4-FFF2-40B4-BE49-F238E27FC236}">
              <a16:creationId xmlns:a16="http://schemas.microsoft.com/office/drawing/2014/main" id="{3B8D1F6E-6BC4-4A7A-B804-F7D31E2B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1514642</xdr:colOff>
      <xdr:row>1</xdr:row>
      <xdr:rowOff>179985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3F0E6C-9199-4395-AFB5-1933E374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77977" cy="5133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1508463</xdr:colOff>
      <xdr:row>2</xdr:row>
      <xdr:rowOff>136170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DEBC8A-8901-4312-BD82-9E688344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66355" cy="51717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1579275</xdr:colOff>
      <xdr:row>2</xdr:row>
      <xdr:rowOff>9526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FE0EB6D-5B2A-8C03-25A8-A34D83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579275" cy="381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161925</xdr:rowOff>
    </xdr:from>
    <xdr:ext cx="1766888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837C7CE7-BA36-45B4-8583-F669CBC8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21</xdr:row>
      <xdr:rowOff>50800</xdr:rowOff>
    </xdr:from>
    <xdr:ext cx="1766888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4075567B-BCEB-4D5D-9A1E-B2434D3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37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51</xdr:row>
      <xdr:rowOff>0</xdr:rowOff>
    </xdr:from>
    <xdr:ext cx="1766888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A14D9B0F-5081-4968-87AC-59C1FC7C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830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95249</xdr:rowOff>
    </xdr:from>
    <xdr:to>
      <xdr:col>0</xdr:col>
      <xdr:colOff>2209800</xdr:colOff>
      <xdr:row>1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49"/>
          <a:ext cx="21812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ntradas%20de%20Diario/ED%2025%2001%20Enero.xlsx" TargetMode="External"/><Relationship Id="rId1" Type="http://schemas.openxmlformats.org/officeDocument/2006/relationships/externalLinkPath" Target="/sites/DF/Shared%20Documents/2%20CONT%20NEW/2025/Entradas%20de%20Diario/ED%2025%2001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ED"/>
      <sheetName val="Resumen"/>
      <sheetName val="analisis IR3"/>
      <sheetName val="Reclasific"/>
      <sheetName val="Dividend"/>
      <sheetName val="Nominas "/>
      <sheetName val="Pagos"/>
      <sheetName val="Vacaciones"/>
      <sheetName val="Form Vacaciones"/>
      <sheetName val="Combustible"/>
      <sheetName val="Act Fijo"/>
      <sheetName val="Amortiz GPA"/>
      <sheetName val="Provision Bonos"/>
      <sheetName val="Provision Regalia nav"/>
      <sheetName val="Provisiones vacac"/>
      <sheetName val="Auditoria HLB"/>
      <sheetName val="Hoja4"/>
      <sheetName val="VACACIONE"/>
      <sheetName val="Analisis ISR ITBIS"/>
      <sheetName val="Dif. cambiaria "/>
      <sheetName val="Hoja17"/>
      <sheetName val="Intereses"/>
      <sheetName val="Interes calculo"/>
      <sheetName val="INVENTARIO"/>
      <sheetName val="Cargos banc"/>
      <sheetName val="Inversion"/>
      <sheetName val="Vacacion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H7">
            <v>8399520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6:M85"/>
  <sheetViews>
    <sheetView tabSelected="1" topLeftCell="A8" zoomScale="90" zoomScaleNormal="90" workbookViewId="0">
      <selection activeCell="A62" sqref="A62:E62"/>
    </sheetView>
  </sheetViews>
  <sheetFormatPr baseColWidth="10" defaultColWidth="9.140625" defaultRowHeight="15.75" x14ac:dyDescent="0.25"/>
  <cols>
    <col min="1" max="1" width="43.28515625" style="1" customWidth="1"/>
    <col min="2" max="2" width="10" style="1" customWidth="1"/>
    <col min="3" max="3" width="28.5703125" style="2" bestFit="1" customWidth="1"/>
    <col min="4" max="4" width="29.42578125" style="2" bestFit="1" customWidth="1"/>
    <col min="5" max="5" width="25" style="2" customWidth="1"/>
    <col min="6" max="6" width="21.42578125" style="2" customWidth="1"/>
    <col min="7" max="7" width="26.140625" style="3" bestFit="1" customWidth="1"/>
    <col min="8" max="8" width="21.42578125" style="1" bestFit="1" customWidth="1"/>
    <col min="9" max="9" width="20" style="1" bestFit="1" customWidth="1"/>
    <col min="10" max="12" width="9.140625" style="1" customWidth="1"/>
    <col min="13" max="13" width="19.140625" style="1" bestFit="1" customWidth="1"/>
    <col min="14" max="16384" width="9.140625" style="1"/>
  </cols>
  <sheetData>
    <row r="6" spans="1:8" x14ac:dyDescent="0.25">
      <c r="A6" s="1" t="s">
        <v>0</v>
      </c>
    </row>
    <row r="7" spans="1:8" s="7" customFormat="1" ht="19.899999999999999" customHeight="1" x14ac:dyDescent="0.3">
      <c r="A7" s="621" t="s">
        <v>1</v>
      </c>
      <c r="B7" s="621"/>
      <c r="C7" s="621"/>
      <c r="D7" s="621"/>
      <c r="E7" s="621"/>
      <c r="F7" s="5"/>
      <c r="G7" s="6"/>
    </row>
    <row r="8" spans="1:8" s="7" customFormat="1" ht="18.75" x14ac:dyDescent="0.3">
      <c r="A8" s="622" t="s">
        <v>2</v>
      </c>
      <c r="B8" s="622"/>
      <c r="C8" s="622"/>
      <c r="D8" s="622"/>
      <c r="E8" s="622"/>
      <c r="F8" s="5"/>
      <c r="G8" s="6"/>
    </row>
    <row r="9" spans="1:8" s="7" customFormat="1" ht="18.75" x14ac:dyDescent="0.3">
      <c r="A9" s="623" t="s">
        <v>883</v>
      </c>
      <c r="B9" s="623"/>
      <c r="C9" s="623"/>
      <c r="D9" s="623"/>
      <c r="E9" s="623"/>
      <c r="F9" s="8"/>
      <c r="G9" s="6"/>
    </row>
    <row r="10" spans="1:8" s="7" customFormat="1" ht="18.75" x14ac:dyDescent="0.3">
      <c r="A10" s="624" t="s">
        <v>3</v>
      </c>
      <c r="B10" s="624"/>
      <c r="C10" s="624"/>
      <c r="D10" s="624"/>
      <c r="E10" s="624"/>
      <c r="F10" s="5"/>
      <c r="G10" s="6"/>
    </row>
    <row r="11" spans="1:8" s="7" customFormat="1" ht="18.75" x14ac:dyDescent="0.3">
      <c r="A11" s="10"/>
      <c r="B11" s="10"/>
      <c r="C11" s="10"/>
      <c r="D11" s="10"/>
      <c r="E11" s="11"/>
      <c r="F11" s="11"/>
      <c r="G11" s="6"/>
    </row>
    <row r="12" spans="1:8" s="7" customFormat="1" ht="18.75" x14ac:dyDescent="0.3">
      <c r="C12" s="11"/>
      <c r="D12" s="11"/>
      <c r="E12" s="11"/>
      <c r="F12" s="11"/>
      <c r="G12" s="6"/>
    </row>
    <row r="13" spans="1:8" s="12" customFormat="1" ht="24.75" customHeight="1" x14ac:dyDescent="0.3">
      <c r="B13" s="13" t="s">
        <v>4</v>
      </c>
      <c r="C13" s="13" t="s">
        <v>5</v>
      </c>
      <c r="D13" s="13" t="s">
        <v>6</v>
      </c>
      <c r="E13" s="13" t="s">
        <v>7</v>
      </c>
      <c r="F13" s="14"/>
      <c r="G13" s="6"/>
    </row>
    <row r="14" spans="1:8" ht="18.75" x14ac:dyDescent="0.3">
      <c r="A14" s="15" t="s">
        <v>8</v>
      </c>
      <c r="B14" s="15"/>
      <c r="C14" s="16"/>
      <c r="D14" s="16"/>
      <c r="E14" s="16"/>
      <c r="F14" s="16"/>
      <c r="G14" s="6"/>
    </row>
    <row r="15" spans="1:8" ht="18.75" x14ac:dyDescent="0.3">
      <c r="A15" s="267" t="s">
        <v>9</v>
      </c>
      <c r="B15" s="267"/>
      <c r="C15" s="16"/>
      <c r="D15" s="16"/>
      <c r="E15" s="16"/>
      <c r="F15" s="16"/>
      <c r="G15" s="6"/>
    </row>
    <row r="16" spans="1:8" x14ac:dyDescent="0.25">
      <c r="A16" s="1" t="s">
        <v>10</v>
      </c>
      <c r="B16" s="17">
        <v>1</v>
      </c>
      <c r="C16" s="386">
        <f>+'A-SITUACION ANEXOS'!D20</f>
        <v>422457870.8459999</v>
      </c>
      <c r="D16" s="386">
        <v>643364628.21600008</v>
      </c>
      <c r="E16" s="386">
        <f>+C16-D16</f>
        <v>-220906757.37000018</v>
      </c>
      <c r="F16" s="16"/>
      <c r="G16" s="26"/>
      <c r="H16" s="18"/>
    </row>
    <row r="17" spans="1:9" x14ac:dyDescent="0.25">
      <c r="A17" s="1" t="s">
        <v>11</v>
      </c>
      <c r="B17" s="17">
        <v>2</v>
      </c>
      <c r="C17" s="386">
        <f>+'A-SITUACION ANEXOS'!D28</f>
        <v>1170441062.6800001</v>
      </c>
      <c r="D17" s="386">
        <v>1160525927.23</v>
      </c>
      <c r="E17" s="386">
        <f>+C17-D17</f>
        <v>9915135.4500000477</v>
      </c>
      <c r="F17" s="268"/>
      <c r="G17" s="26"/>
      <c r="H17" s="18"/>
    </row>
    <row r="18" spans="1:9" x14ac:dyDescent="0.25">
      <c r="A18" s="1" t="s">
        <v>12</v>
      </c>
      <c r="B18" s="17">
        <v>3</v>
      </c>
      <c r="C18" s="386">
        <f>+'A-SITUACION ANEXOS'!D37</f>
        <v>11815736.969999999</v>
      </c>
      <c r="D18" s="386">
        <v>11988940.110000001</v>
      </c>
      <c r="E18" s="386">
        <f>+C18-D18</f>
        <v>-173203.14000000246</v>
      </c>
      <c r="F18" s="16"/>
      <c r="G18" s="26"/>
      <c r="H18" s="18"/>
    </row>
    <row r="19" spans="1:9" x14ac:dyDescent="0.25">
      <c r="A19" s="1" t="s">
        <v>13</v>
      </c>
      <c r="B19" s="17">
        <v>4</v>
      </c>
      <c r="C19" s="386">
        <f>+'A-SITUACION ANEXOS'!D44</f>
        <v>3240569.4299999997</v>
      </c>
      <c r="D19" s="386">
        <v>3406273.7299999995</v>
      </c>
      <c r="E19" s="386">
        <f>+C19-D19</f>
        <v>-165704.29999999981</v>
      </c>
      <c r="F19" s="16"/>
      <c r="G19" s="26"/>
      <c r="H19" s="18"/>
    </row>
    <row r="20" spans="1:9" x14ac:dyDescent="0.25">
      <c r="A20" s="1" t="s">
        <v>14</v>
      </c>
      <c r="B20" s="17">
        <v>5</v>
      </c>
      <c r="C20" s="386">
        <f>+'A-SITUACION ANEXOS'!D51</f>
        <v>2826253.898333333</v>
      </c>
      <c r="D20" s="386">
        <v>3308604.726666667</v>
      </c>
      <c r="E20" s="386">
        <f>+C20-D20</f>
        <v>-482350.82833333407</v>
      </c>
      <c r="F20" s="16"/>
      <c r="G20" s="26"/>
      <c r="H20" s="18"/>
    </row>
    <row r="21" spans="1:9" x14ac:dyDescent="0.25">
      <c r="A21" s="15" t="s">
        <v>15</v>
      </c>
      <c r="B21" s="45"/>
      <c r="C21" s="512">
        <f>SUM(C16:C20)+0.01</f>
        <v>1610781493.8343334</v>
      </c>
      <c r="D21" s="512">
        <f>SUM(D16:D20)+0.01</f>
        <v>1822594374.0226667</v>
      </c>
      <c r="E21" s="512">
        <f>SUM(E16:E20)</f>
        <v>-211812880.18833351</v>
      </c>
      <c r="F21" s="37"/>
      <c r="G21" s="26"/>
      <c r="H21" s="18"/>
      <c r="I21" s="16"/>
    </row>
    <row r="22" spans="1:9" x14ac:dyDescent="0.25">
      <c r="B22" s="17"/>
      <c r="C22" s="386"/>
      <c r="D22" s="386"/>
      <c r="E22" s="386"/>
      <c r="F22" s="419"/>
      <c r="G22" s="26"/>
      <c r="H22" s="18"/>
      <c r="I22" s="16"/>
    </row>
    <row r="23" spans="1:9" x14ac:dyDescent="0.25">
      <c r="A23" s="267" t="s">
        <v>16</v>
      </c>
      <c r="B23" s="269"/>
      <c r="C23" s="386"/>
      <c r="D23" s="386"/>
      <c r="E23" s="386"/>
      <c r="F23" s="418"/>
      <c r="G23" s="26"/>
      <c r="H23" s="18"/>
      <c r="I23" s="16"/>
    </row>
    <row r="24" spans="1:9" x14ac:dyDescent="0.25">
      <c r="A24" s="1" t="s">
        <v>17</v>
      </c>
      <c r="B24" s="17">
        <v>6</v>
      </c>
      <c r="C24" s="386">
        <f>+'A-SITUACION ANEXOS'!D103</f>
        <v>14831241232.18</v>
      </c>
      <c r="D24" s="386">
        <v>14669650504.350002</v>
      </c>
      <c r="E24" s="386">
        <f>C24-D24</f>
        <v>161590727.82999802</v>
      </c>
      <c r="F24" s="418"/>
      <c r="G24" s="26"/>
      <c r="H24" s="18"/>
    </row>
    <row r="25" spans="1:9" x14ac:dyDescent="0.25">
      <c r="A25" s="1" t="s">
        <v>18</v>
      </c>
      <c r="B25" s="17">
        <v>7</v>
      </c>
      <c r="C25" s="386">
        <f>+'A-SITUACION ANEXOS'!D113</f>
        <v>2178756800</v>
      </c>
      <c r="D25" s="386">
        <v>1994656800</v>
      </c>
      <c r="E25" s="386">
        <f>C25-D25</f>
        <v>184100000</v>
      </c>
      <c r="G25" s="26"/>
      <c r="H25" s="18"/>
    </row>
    <row r="26" spans="1:9" x14ac:dyDescent="0.25">
      <c r="A26" s="1" t="s">
        <v>19</v>
      </c>
      <c r="B26" s="17">
        <v>8</v>
      </c>
      <c r="C26" s="388">
        <f>+'A-SITUACION ANEXOS'!D126</f>
        <v>20900276.879999984</v>
      </c>
      <c r="D26" s="388">
        <v>21527177.559999995</v>
      </c>
      <c r="E26" s="388">
        <f>C26-D26</f>
        <v>-626900.68000001088</v>
      </c>
      <c r="F26" s="37"/>
      <c r="G26" s="26"/>
      <c r="H26" s="18"/>
    </row>
    <row r="27" spans="1:9" x14ac:dyDescent="0.25">
      <c r="A27" s="15" t="s">
        <v>20</v>
      </c>
      <c r="B27" s="17"/>
      <c r="C27" s="389">
        <f>SUM(C24:C26)</f>
        <v>17030898309.059999</v>
      </c>
      <c r="D27" s="389">
        <f>SUM(D24:D26)</f>
        <v>16685834481.910002</v>
      </c>
      <c r="E27" s="389">
        <f>SUM(E24:E26)</f>
        <v>345063827.14999801</v>
      </c>
      <c r="F27" s="37"/>
      <c r="G27" s="26"/>
      <c r="H27" s="18"/>
    </row>
    <row r="28" spans="1:9" x14ac:dyDescent="0.25">
      <c r="B28" s="17"/>
      <c r="C28" s="386"/>
      <c r="D28" s="386"/>
      <c r="E28" s="386"/>
      <c r="F28" s="419"/>
      <c r="G28" s="26"/>
      <c r="H28" s="18"/>
    </row>
    <row r="29" spans="1:9" ht="24" customHeight="1" thickBot="1" x14ac:dyDescent="0.3">
      <c r="A29" s="15" t="s">
        <v>21</v>
      </c>
      <c r="B29" s="45"/>
      <c r="C29" s="390">
        <f>C21+C27</f>
        <v>18641679802.894333</v>
      </c>
      <c r="D29" s="390">
        <f>D21+D27</f>
        <v>18508428855.932667</v>
      </c>
      <c r="E29" s="390">
        <f>+C29-D29</f>
        <v>133250946.96166611</v>
      </c>
      <c r="F29" s="37"/>
      <c r="G29" s="26"/>
      <c r="H29" s="18"/>
    </row>
    <row r="30" spans="1:9" ht="17.25" customHeight="1" thickTop="1" x14ac:dyDescent="0.25">
      <c r="B30" s="17"/>
      <c r="C30" s="386"/>
      <c r="D30" s="386"/>
      <c r="E30" s="386"/>
      <c r="F30" s="37"/>
      <c r="G30" s="26"/>
      <c r="H30" s="18"/>
    </row>
    <row r="31" spans="1:9" x14ac:dyDescent="0.25">
      <c r="A31" s="15" t="s">
        <v>22</v>
      </c>
      <c r="B31" s="45"/>
      <c r="C31" s="386"/>
      <c r="D31" s="386"/>
      <c r="E31" s="386"/>
      <c r="F31" s="37"/>
      <c r="G31" s="26"/>
      <c r="H31" s="18"/>
    </row>
    <row r="32" spans="1:9" x14ac:dyDescent="0.25">
      <c r="A32" s="267" t="s">
        <v>9</v>
      </c>
      <c r="B32" s="269"/>
      <c r="C32" s="386"/>
      <c r="D32" s="386"/>
      <c r="E32" s="386"/>
      <c r="F32" s="37"/>
      <c r="G32" s="26"/>
      <c r="H32" s="18"/>
    </row>
    <row r="33" spans="1:9" x14ac:dyDescent="0.25">
      <c r="A33" s="1" t="s">
        <v>23</v>
      </c>
      <c r="B33" s="17">
        <v>9</v>
      </c>
      <c r="C33" s="386">
        <f>+'A-SITUACION ANEXOS'!D137</f>
        <v>2716065.08</v>
      </c>
      <c r="D33" s="386">
        <f>+'A-SITUACION ANEXOS'!E137</f>
        <v>5659674.3900000006</v>
      </c>
      <c r="E33" s="386">
        <f>+C33-D33</f>
        <v>-2943609.3100000005</v>
      </c>
      <c r="F33" s="26"/>
      <c r="G33" s="26"/>
      <c r="H33" s="18"/>
      <c r="I33" s="2"/>
    </row>
    <row r="34" spans="1:9" hidden="1" x14ac:dyDescent="0.25">
      <c r="A34" s="1" t="s">
        <v>24</v>
      </c>
      <c r="B34" s="17">
        <v>10</v>
      </c>
      <c r="C34" s="386">
        <f>+'A-SITUACION ANEXOS'!D144</f>
        <v>0</v>
      </c>
      <c r="D34" s="386">
        <v>0</v>
      </c>
      <c r="E34" s="386">
        <f t="shared" ref="E34:E36" si="0">+C34-D34</f>
        <v>0</v>
      </c>
      <c r="F34" s="37"/>
      <c r="G34" s="26"/>
      <c r="H34" s="18"/>
      <c r="I34" s="2"/>
    </row>
    <row r="35" spans="1:9" x14ac:dyDescent="0.25">
      <c r="A35" s="1" t="s">
        <v>25</v>
      </c>
      <c r="B35" s="17">
        <v>11</v>
      </c>
      <c r="C35" s="386">
        <f>+'A-SITUACION ANEXOS'!D154</f>
        <v>22001809.43</v>
      </c>
      <c r="D35" s="386">
        <f>+'A-SITUACION ANEXOS'!E154</f>
        <v>16776623.600000001</v>
      </c>
      <c r="E35" s="386">
        <f t="shared" si="0"/>
        <v>5225185.8299999982</v>
      </c>
      <c r="F35" s="559"/>
      <c r="G35" s="26"/>
      <c r="H35" s="18"/>
      <c r="I35" s="2"/>
    </row>
    <row r="36" spans="1:9" x14ac:dyDescent="0.25">
      <c r="A36" s="1" t="s">
        <v>26</v>
      </c>
      <c r="B36" s="17">
        <v>12</v>
      </c>
      <c r="C36" s="386">
        <f>+'NOTA 12-RETENCIONES X PAGAR'!B16</f>
        <v>1816241.85</v>
      </c>
      <c r="D36" s="386">
        <f>+'A-SITUACION ANEXOS'!E164</f>
        <v>3956963.6</v>
      </c>
      <c r="E36" s="386">
        <f t="shared" si="0"/>
        <v>-2140721.75</v>
      </c>
      <c r="G36" s="26"/>
      <c r="H36" s="18"/>
      <c r="I36" s="2"/>
    </row>
    <row r="37" spans="1:9" x14ac:dyDescent="0.25">
      <c r="A37" s="1" t="s">
        <v>27</v>
      </c>
      <c r="B37" s="17">
        <v>13</v>
      </c>
      <c r="C37" s="388">
        <f>+'A-SITUACION ANEXOS'!D170</f>
        <v>94144294.680000007</v>
      </c>
      <c r="D37" s="388">
        <f>+'A-SITUACION ANEXOS'!E170</f>
        <v>105912331.51000001</v>
      </c>
      <c r="E37" s="388">
        <f>+C37-D37</f>
        <v>-11768036.829999998</v>
      </c>
      <c r="G37" s="26"/>
      <c r="H37" s="18"/>
      <c r="I37" s="2"/>
    </row>
    <row r="38" spans="1:9" x14ac:dyDescent="0.25">
      <c r="A38" s="15" t="s">
        <v>768</v>
      </c>
      <c r="B38" s="45"/>
      <c r="C38" s="389">
        <f>SUM(C33:C37)</f>
        <v>120678411.04000001</v>
      </c>
      <c r="D38" s="389">
        <f>SUM(D33:D37)-0.01</f>
        <v>132305593.09</v>
      </c>
      <c r="E38" s="389">
        <f>SUM(E33:E37)</f>
        <v>-11627182.060000001</v>
      </c>
      <c r="F38" s="37"/>
      <c r="G38" s="26"/>
      <c r="H38" s="18"/>
      <c r="I38" s="2"/>
    </row>
    <row r="39" spans="1:9" x14ac:dyDescent="0.25">
      <c r="B39" s="17"/>
      <c r="C39" s="386"/>
      <c r="D39" s="386"/>
      <c r="E39" s="386"/>
      <c r="F39" s="37"/>
      <c r="G39" s="26"/>
      <c r="H39" s="18"/>
      <c r="I39" s="2"/>
    </row>
    <row r="40" spans="1:9" x14ac:dyDescent="0.25">
      <c r="B40" s="17"/>
      <c r="C40" s="386"/>
      <c r="D40" s="386"/>
      <c r="E40" s="386"/>
      <c r="G40" s="26"/>
      <c r="H40" s="18"/>
      <c r="I40" s="2"/>
    </row>
    <row r="41" spans="1:9" ht="24" customHeight="1" thickBot="1" x14ac:dyDescent="0.3">
      <c r="A41" s="15" t="s">
        <v>28</v>
      </c>
      <c r="B41" s="45"/>
      <c r="C41" s="390">
        <f>C38</f>
        <v>120678411.04000001</v>
      </c>
      <c r="D41" s="390">
        <f>D38</f>
        <v>132305593.09</v>
      </c>
      <c r="E41" s="390">
        <f>E38</f>
        <v>-11627182.060000001</v>
      </c>
      <c r="F41" s="37"/>
      <c r="G41" s="26"/>
      <c r="H41" s="18"/>
    </row>
    <row r="42" spans="1:9" ht="16.5" thickTop="1" x14ac:dyDescent="0.25">
      <c r="B42" s="17"/>
      <c r="C42" s="386"/>
      <c r="D42" s="386"/>
      <c r="E42" s="386"/>
      <c r="G42" s="26"/>
      <c r="H42" s="18"/>
    </row>
    <row r="43" spans="1:9" x14ac:dyDescent="0.25">
      <c r="A43" s="15" t="s">
        <v>29</v>
      </c>
      <c r="B43" s="45"/>
      <c r="C43" s="386"/>
      <c r="D43" s="386"/>
      <c r="E43" s="386"/>
      <c r="F43" s="37"/>
      <c r="G43" s="26"/>
      <c r="H43" s="18"/>
    </row>
    <row r="44" spans="1:9" x14ac:dyDescent="0.25">
      <c r="A44" s="1" t="s">
        <v>30</v>
      </c>
      <c r="B44" s="17">
        <v>14</v>
      </c>
      <c r="C44" s="386">
        <f>+'NOTA 14-CAPITAL'!F27</f>
        <v>16374110889</v>
      </c>
      <c r="D44" s="386">
        <v>16374110889</v>
      </c>
      <c r="E44" s="386">
        <f>+C44-D44</f>
        <v>0</v>
      </c>
      <c r="F44" s="37"/>
      <c r="G44" s="26"/>
      <c r="H44" s="18"/>
    </row>
    <row r="45" spans="1:9" x14ac:dyDescent="0.25">
      <c r="A45" s="1" t="s">
        <v>31</v>
      </c>
      <c r="B45" s="17"/>
      <c r="C45" s="386">
        <v>2499973657.4000001</v>
      </c>
      <c r="D45" s="386">
        <v>2338382929.5700002</v>
      </c>
      <c r="E45" s="386">
        <f>+C45-D45</f>
        <v>161590727.82999992</v>
      </c>
      <c r="F45" s="37"/>
      <c r="G45" s="26"/>
      <c r="H45" s="18"/>
    </row>
    <row r="46" spans="1:9" x14ac:dyDescent="0.25">
      <c r="A46" s="1" t="s">
        <v>32</v>
      </c>
      <c r="B46" s="17"/>
      <c r="C46" s="388">
        <f>+'Estado de Resultados'!C36</f>
        <v>-353083154.54999995</v>
      </c>
      <c r="D46" s="388">
        <v>-336370555.73000002</v>
      </c>
      <c r="E46" s="388">
        <f>+C46-D46</f>
        <v>-16712598.819999933</v>
      </c>
      <c r="F46" s="37"/>
      <c r="G46" s="26"/>
      <c r="H46" s="18"/>
    </row>
    <row r="47" spans="1:9" x14ac:dyDescent="0.25">
      <c r="B47" s="17"/>
      <c r="C47" s="386"/>
      <c r="D47" s="386"/>
      <c r="E47" s="386"/>
      <c r="F47" s="418"/>
      <c r="G47" s="26"/>
      <c r="H47" s="18"/>
    </row>
    <row r="48" spans="1:9" ht="24" customHeight="1" thickBot="1" x14ac:dyDescent="0.3">
      <c r="A48" s="15" t="s">
        <v>33</v>
      </c>
      <c r="B48" s="45"/>
      <c r="C48" s="390">
        <f>SUM(C44:C46)</f>
        <v>18521001391.850002</v>
      </c>
      <c r="D48" s="390">
        <f>SUM(D44:D46)</f>
        <v>18376123262.84</v>
      </c>
      <c r="E48" s="390">
        <f>SUM(E44:E46)</f>
        <v>144878129.00999999</v>
      </c>
      <c r="G48" s="26"/>
      <c r="H48" s="18"/>
    </row>
    <row r="49" spans="1:13" ht="16.5" thickTop="1" x14ac:dyDescent="0.25">
      <c r="B49" s="17"/>
      <c r="C49" s="386"/>
      <c r="D49" s="386"/>
      <c r="E49" s="386"/>
      <c r="F49" s="418"/>
      <c r="G49" s="2"/>
      <c r="H49" s="18"/>
    </row>
    <row r="50" spans="1:13" ht="27" customHeight="1" thickBot="1" x14ac:dyDescent="0.3">
      <c r="A50" s="15" t="s">
        <v>34</v>
      </c>
      <c r="B50" s="45"/>
      <c r="C50" s="390">
        <f>+C41+C48</f>
        <v>18641679802.890003</v>
      </c>
      <c r="D50" s="390">
        <f t="shared" ref="D50" si="1">+D41+D48</f>
        <v>18508428855.93</v>
      </c>
      <c r="E50" s="390">
        <f>+E41+E48+0.01</f>
        <v>133250946.95999999</v>
      </c>
      <c r="G50" s="26"/>
      <c r="H50" s="18"/>
    </row>
    <row r="51" spans="1:13" ht="16.5" thickTop="1" x14ac:dyDescent="0.25">
      <c r="B51" s="23"/>
      <c r="C51" s="511">
        <f>+C29-C50</f>
        <v>4.329681396484375E-3</v>
      </c>
      <c r="D51" s="511">
        <f>+D29-D50</f>
        <v>2.666473388671875E-3</v>
      </c>
      <c r="E51" s="511">
        <f>+E29-E50</f>
        <v>1.6661137342453003E-3</v>
      </c>
      <c r="F51" s="505"/>
      <c r="G51" s="1"/>
      <c r="H51" s="18"/>
      <c r="M51" s="16"/>
    </row>
    <row r="52" spans="1:13" x14ac:dyDescent="0.25">
      <c r="B52" s="17"/>
      <c r="C52" s="560"/>
      <c r="D52" s="391"/>
      <c r="E52" s="391"/>
      <c r="F52" s="418"/>
      <c r="G52" s="1"/>
      <c r="H52" s="18"/>
      <c r="M52" s="2"/>
    </row>
    <row r="53" spans="1:13" x14ac:dyDescent="0.25">
      <c r="B53" s="17"/>
      <c r="F53" s="418"/>
      <c r="G53" s="1"/>
      <c r="M53" s="2"/>
    </row>
    <row r="54" spans="1:13" x14ac:dyDescent="0.25">
      <c r="A54" s="22"/>
      <c r="B54" s="328"/>
      <c r="C54" s="561"/>
      <c r="F54" s="418"/>
      <c r="G54" s="1"/>
      <c r="M54" s="2"/>
    </row>
    <row r="55" spans="1:13" ht="15" customHeight="1" x14ac:dyDescent="0.25">
      <c r="A55" s="22"/>
      <c r="B55" s="22"/>
      <c r="G55" s="1"/>
      <c r="M55" s="2"/>
    </row>
    <row r="56" spans="1:13" s="15" customFormat="1" x14ac:dyDescent="0.25">
      <c r="A56" s="243" t="s">
        <v>35</v>
      </c>
      <c r="C56" s="48"/>
      <c r="D56" s="620" t="s">
        <v>36</v>
      </c>
      <c r="E56" s="620"/>
      <c r="F56" s="48"/>
      <c r="H56" s="48"/>
      <c r="M56" s="48"/>
    </row>
    <row r="57" spans="1:13" x14ac:dyDescent="0.25">
      <c r="A57" s="23" t="s">
        <v>37</v>
      </c>
      <c r="B57" s="22"/>
      <c r="D57" s="619" t="s">
        <v>38</v>
      </c>
      <c r="E57" s="619"/>
      <c r="G57" s="1"/>
      <c r="H57" s="2"/>
    </row>
    <row r="58" spans="1:13" x14ac:dyDescent="0.25">
      <c r="A58" s="23"/>
      <c r="B58" s="22"/>
      <c r="G58" s="1"/>
      <c r="H58" s="2"/>
      <c r="M58" s="2"/>
    </row>
    <row r="59" spans="1:13" ht="16.5" customHeight="1" x14ac:dyDescent="0.25">
      <c r="A59" s="22"/>
      <c r="B59" s="22"/>
      <c r="G59" s="1"/>
      <c r="M59" s="18"/>
    </row>
    <row r="60" spans="1:13" ht="16.5" customHeight="1" x14ac:dyDescent="0.25">
      <c r="A60" s="22"/>
      <c r="B60" s="22"/>
      <c r="G60" s="1"/>
      <c r="M60" s="18"/>
    </row>
    <row r="61" spans="1:13" ht="17.25" customHeight="1" x14ac:dyDescent="0.25">
      <c r="G61" s="1"/>
      <c r="M61" s="18"/>
    </row>
    <row r="62" spans="1:13" s="15" customFormat="1" x14ac:dyDescent="0.25">
      <c r="A62" s="625" t="s">
        <v>39</v>
      </c>
      <c r="B62" s="625"/>
      <c r="C62" s="625"/>
      <c r="D62" s="625"/>
      <c r="E62" s="625"/>
      <c r="F62" s="48"/>
    </row>
    <row r="63" spans="1:13" x14ac:dyDescent="0.25">
      <c r="A63" s="618" t="s">
        <v>40</v>
      </c>
      <c r="B63" s="618"/>
      <c r="C63" s="618"/>
      <c r="D63" s="618"/>
      <c r="E63" s="618"/>
      <c r="G63" s="1"/>
    </row>
    <row r="64" spans="1:13" x14ac:dyDescent="0.25">
      <c r="G64" s="1"/>
    </row>
    <row r="65" spans="3:7" x14ac:dyDescent="0.25">
      <c r="G65" s="1"/>
    </row>
    <row r="66" spans="3:7" x14ac:dyDescent="0.25">
      <c r="G66" s="1"/>
    </row>
    <row r="67" spans="3:7" x14ac:dyDescent="0.25">
      <c r="C67" s="1"/>
      <c r="G67" s="1"/>
    </row>
    <row r="68" spans="3:7" x14ac:dyDescent="0.25">
      <c r="C68" s="24"/>
      <c r="D68" s="25"/>
      <c r="F68" s="25"/>
      <c r="G68" s="2"/>
    </row>
    <row r="69" spans="3:7" x14ac:dyDescent="0.25">
      <c r="C69" s="24"/>
      <c r="D69" s="25"/>
      <c r="F69" s="25"/>
      <c r="G69" s="2"/>
    </row>
    <row r="70" spans="3:7" x14ac:dyDescent="0.25">
      <c r="C70" s="24"/>
      <c r="D70" s="25"/>
      <c r="F70" s="25"/>
      <c r="G70" s="2"/>
    </row>
    <row r="71" spans="3:7" x14ac:dyDescent="0.25">
      <c r="C71" s="24"/>
      <c r="D71" s="25"/>
      <c r="F71" s="25"/>
      <c r="G71" s="2"/>
    </row>
    <row r="72" spans="3:7" x14ac:dyDescent="0.25">
      <c r="C72" s="24"/>
      <c r="D72" s="25"/>
      <c r="F72" s="25"/>
      <c r="G72" s="2"/>
    </row>
    <row r="73" spans="3:7" x14ac:dyDescent="0.25">
      <c r="C73" s="24"/>
      <c r="D73" s="25"/>
      <c r="F73" s="25"/>
      <c r="G73" s="2"/>
    </row>
    <row r="74" spans="3:7" x14ac:dyDescent="0.25">
      <c r="C74" s="24"/>
      <c r="D74" s="25"/>
      <c r="F74" s="25"/>
      <c r="G74" s="2"/>
    </row>
    <row r="75" spans="3:7" x14ac:dyDescent="0.25">
      <c r="C75" s="24"/>
      <c r="G75" s="2"/>
    </row>
    <row r="76" spans="3:7" x14ac:dyDescent="0.25">
      <c r="C76" s="27"/>
      <c r="G76" s="1"/>
    </row>
    <row r="77" spans="3:7" x14ac:dyDescent="0.25">
      <c r="C77" s="27"/>
      <c r="G77" s="1"/>
    </row>
    <row r="79" spans="3:7" x14ac:dyDescent="0.25">
      <c r="C79" s="28"/>
    </row>
    <row r="80" spans="3:7" x14ac:dyDescent="0.25">
      <c r="C80" s="28"/>
    </row>
    <row r="81" spans="3:3" x14ac:dyDescent="0.25">
      <c r="C81" s="28"/>
    </row>
    <row r="82" spans="3:3" x14ac:dyDescent="0.25">
      <c r="C82" s="28"/>
    </row>
    <row r="83" spans="3:3" x14ac:dyDescent="0.25">
      <c r="C83" s="28"/>
    </row>
    <row r="84" spans="3:3" x14ac:dyDescent="0.25">
      <c r="C84" s="28"/>
    </row>
    <row r="85" spans="3:3" x14ac:dyDescent="0.25">
      <c r="C85" s="28"/>
    </row>
  </sheetData>
  <mergeCells count="8">
    <mergeCell ref="A63:E63"/>
    <mergeCell ref="D57:E57"/>
    <mergeCell ref="D56:E56"/>
    <mergeCell ref="A7:E7"/>
    <mergeCell ref="A8:E8"/>
    <mergeCell ref="A9:E9"/>
    <mergeCell ref="A10:E10"/>
    <mergeCell ref="A62:E62"/>
  </mergeCells>
  <phoneticPr fontId="59" type="noConversion"/>
  <printOptions horizontalCentered="1"/>
  <pageMargins left="0.62992125984251968" right="0.70866141732283472" top="0.39370078740157483" bottom="0.19685039370078741" header="0" footer="0"/>
  <pageSetup scale="68" orientation="portrait" r:id="rId1"/>
  <headerFooter alignWithMargins="0"/>
  <ignoredErrors>
    <ignoredError sqref="D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L51"/>
  <sheetViews>
    <sheetView topLeftCell="A15" zoomScale="90" zoomScaleNormal="90" workbookViewId="0">
      <selection activeCell="D27" sqref="D27:D31"/>
    </sheetView>
  </sheetViews>
  <sheetFormatPr baseColWidth="10" defaultColWidth="9.140625" defaultRowHeight="15.75" x14ac:dyDescent="0.25"/>
  <cols>
    <col min="1" max="1" width="46.28515625" style="1" customWidth="1"/>
    <col min="2" max="2" width="10.42578125" style="1" customWidth="1"/>
    <col min="3" max="3" width="28.7109375" style="2" bestFit="1" customWidth="1"/>
    <col min="4" max="4" width="26.140625" style="2" customWidth="1"/>
    <col min="5" max="5" width="28.140625" style="2" bestFit="1" customWidth="1"/>
    <col min="6" max="6" width="20.5703125" style="1" bestFit="1" customWidth="1"/>
    <col min="7" max="7" width="21.140625" style="1" customWidth="1"/>
    <col min="8" max="8" width="19.140625" style="1" bestFit="1" customWidth="1"/>
    <col min="9" max="16384" width="9.140625" style="1"/>
  </cols>
  <sheetData>
    <row r="1" spans="1:12" ht="24.75" customHeight="1" x14ac:dyDescent="0.25">
      <c r="A1" s="29"/>
      <c r="B1" s="29"/>
      <c r="C1" s="30"/>
      <c r="D1" s="30"/>
      <c r="E1" s="30"/>
    </row>
    <row r="2" spans="1:12" x14ac:dyDescent="0.25">
      <c r="A2" s="29"/>
      <c r="B2" s="29"/>
      <c r="C2" s="30"/>
      <c r="D2" s="30"/>
      <c r="E2" s="30"/>
    </row>
    <row r="3" spans="1:12" x14ac:dyDescent="0.25">
      <c r="A3" s="29"/>
      <c r="B3" s="29"/>
      <c r="C3" s="30"/>
      <c r="D3" s="30"/>
      <c r="E3" s="30"/>
    </row>
    <row r="4" spans="1:12" x14ac:dyDescent="0.25">
      <c r="A4" s="29"/>
      <c r="B4" s="29"/>
      <c r="C4" s="30"/>
      <c r="D4" s="30"/>
      <c r="E4" s="30"/>
    </row>
    <row r="5" spans="1:12" x14ac:dyDescent="0.25">
      <c r="A5" s="29"/>
      <c r="B5" s="29"/>
      <c r="C5" s="30"/>
      <c r="D5" s="30"/>
      <c r="E5" s="30"/>
      <c r="F5" s="460"/>
    </row>
    <row r="6" spans="1:12" s="7" customFormat="1" ht="20.25" customHeight="1" x14ac:dyDescent="0.3">
      <c r="A6" s="621" t="s">
        <v>1</v>
      </c>
      <c r="B6" s="621"/>
      <c r="C6" s="621"/>
      <c r="D6" s="621"/>
      <c r="E6" s="621"/>
      <c r="H6" s="31"/>
      <c r="I6" s="31"/>
      <c r="J6" s="31"/>
      <c r="K6" s="31"/>
      <c r="L6" s="31"/>
    </row>
    <row r="7" spans="1:12" s="7" customFormat="1" ht="17.45" customHeight="1" x14ac:dyDescent="0.3">
      <c r="A7" s="622" t="s">
        <v>41</v>
      </c>
      <c r="B7" s="622"/>
      <c r="C7" s="622"/>
      <c r="D7" s="622"/>
      <c r="E7" s="622"/>
      <c r="F7" s="11"/>
      <c r="H7" s="32"/>
      <c r="I7" s="32"/>
      <c r="J7" s="32"/>
      <c r="K7" s="32"/>
      <c r="L7" s="32"/>
    </row>
    <row r="8" spans="1:12" s="7" customFormat="1" ht="17.45" customHeight="1" x14ac:dyDescent="0.3">
      <c r="A8" s="623" t="s">
        <v>883</v>
      </c>
      <c r="B8" s="623"/>
      <c r="C8" s="623"/>
      <c r="D8" s="623"/>
      <c r="E8" s="623"/>
      <c r="F8" s="11"/>
      <c r="H8" s="33"/>
      <c r="I8" s="33"/>
      <c r="J8" s="33"/>
      <c r="K8" s="33"/>
      <c r="L8" s="33"/>
    </row>
    <row r="9" spans="1:12" s="7" customFormat="1" ht="17.45" customHeight="1" x14ac:dyDescent="0.3">
      <c r="A9" s="624" t="s">
        <v>3</v>
      </c>
      <c r="B9" s="624"/>
      <c r="C9" s="624"/>
      <c r="D9" s="624"/>
      <c r="E9" s="624"/>
      <c r="F9" s="11"/>
    </row>
    <row r="10" spans="1:12" s="7" customFormat="1" ht="18.75" x14ac:dyDescent="0.3">
      <c r="A10" s="9"/>
      <c r="B10" s="9"/>
      <c r="C10" s="9"/>
      <c r="D10" s="9"/>
      <c r="E10" s="9"/>
      <c r="F10" s="34"/>
    </row>
    <row r="11" spans="1:12" s="7" customFormat="1" ht="18.75" x14ac:dyDescent="0.3">
      <c r="C11" s="35"/>
      <c r="D11" s="35"/>
      <c r="E11" s="35"/>
    </row>
    <row r="12" spans="1:12" s="12" customFormat="1" ht="38.450000000000003" customHeight="1" x14ac:dyDescent="0.2">
      <c r="B12" s="36" t="s">
        <v>42</v>
      </c>
      <c r="C12" s="13" t="s">
        <v>43</v>
      </c>
      <c r="D12" s="13" t="s">
        <v>44</v>
      </c>
      <c r="E12" s="13" t="s">
        <v>7</v>
      </c>
    </row>
    <row r="13" spans="1:12" ht="23.25" customHeight="1" x14ac:dyDescent="0.25">
      <c r="A13" s="15" t="s">
        <v>45</v>
      </c>
      <c r="B13" s="15"/>
      <c r="C13" s="37"/>
      <c r="D13" s="37"/>
      <c r="E13" s="37"/>
    </row>
    <row r="14" spans="1:12" ht="21" customHeight="1" x14ac:dyDescent="0.25">
      <c r="A14" s="1" t="s">
        <v>46</v>
      </c>
      <c r="B14" s="17">
        <v>15</v>
      </c>
      <c r="C14" s="37">
        <v>1709914.86</v>
      </c>
      <c r="D14" s="37">
        <v>1709914.86</v>
      </c>
      <c r="E14" s="37">
        <f>C14-D14</f>
        <v>0</v>
      </c>
      <c r="F14" s="18"/>
    </row>
    <row r="15" spans="1:12" ht="21" customHeight="1" x14ac:dyDescent="0.25">
      <c r="A15" s="1" t="s">
        <v>47</v>
      </c>
      <c r="B15" s="17">
        <v>16</v>
      </c>
      <c r="C15" s="37">
        <f>+'A-RESULTADOS ANEXOS'!D23</f>
        <v>64908843.149999999</v>
      </c>
      <c r="D15" s="37">
        <v>54993707.700000003</v>
      </c>
      <c r="E15" s="37">
        <f>C15-D15</f>
        <v>9915135.4499999955</v>
      </c>
      <c r="F15" s="18"/>
    </row>
    <row r="16" spans="1:12" ht="21" customHeight="1" x14ac:dyDescent="0.25">
      <c r="A16" s="1" t="s">
        <v>48</v>
      </c>
      <c r="B16" s="17">
        <v>17</v>
      </c>
      <c r="C16" s="334">
        <f>+'A-RESULTADOS ANEXOS'!D29</f>
        <v>1118801.23</v>
      </c>
      <c r="D16" s="334">
        <v>905015.59</v>
      </c>
      <c r="E16" s="506">
        <f>C16-D16</f>
        <v>213785.64</v>
      </c>
      <c r="F16" s="18"/>
    </row>
    <row r="17" spans="1:6" ht="21" customHeight="1" x14ac:dyDescent="0.25">
      <c r="A17" s="15" t="s">
        <v>49</v>
      </c>
      <c r="B17" s="45"/>
      <c r="C17" s="48">
        <f>SUM(C14:C16)</f>
        <v>67737559.239999995</v>
      </c>
      <c r="D17" s="48">
        <f>SUM(D14:D16)</f>
        <v>57608638.150000006</v>
      </c>
      <c r="E17" s="48">
        <f>SUM(E14:E16)</f>
        <v>10128921.089999996</v>
      </c>
      <c r="F17" s="18"/>
    </row>
    <row r="18" spans="1:6" x14ac:dyDescent="0.25">
      <c r="B18" s="17"/>
      <c r="C18" s="37"/>
      <c r="D18" s="37"/>
      <c r="E18" s="37"/>
      <c r="F18" s="18"/>
    </row>
    <row r="19" spans="1:6" x14ac:dyDescent="0.25">
      <c r="B19" s="17"/>
      <c r="C19" s="37"/>
      <c r="D19" s="37"/>
      <c r="E19" s="37"/>
      <c r="F19" s="18"/>
    </row>
    <row r="20" spans="1:6" ht="23.25" customHeight="1" x14ac:dyDescent="0.25">
      <c r="A20" s="15" t="s">
        <v>50</v>
      </c>
      <c r="B20" s="45"/>
      <c r="F20" s="18"/>
    </row>
    <row r="21" spans="1:6" ht="21" customHeight="1" x14ac:dyDescent="0.25">
      <c r="A21" s="1" t="s">
        <v>51</v>
      </c>
      <c r="B21" s="17">
        <v>18</v>
      </c>
      <c r="C21" s="37">
        <f>+'A-RESULTADOS ANEXOS'!D52</f>
        <v>92085152.519999996</v>
      </c>
      <c r="D21" s="37">
        <v>73928666.120000005</v>
      </c>
      <c r="E21" s="37">
        <f>C21-D21</f>
        <v>18156486.399999991</v>
      </c>
      <c r="F21" s="18"/>
    </row>
    <row r="22" spans="1:6" ht="21" customHeight="1" x14ac:dyDescent="0.25">
      <c r="A22" s="1" t="s">
        <v>52</v>
      </c>
      <c r="B22" s="17">
        <v>19</v>
      </c>
      <c r="C22" s="37">
        <f>+'A-RESULTADOS ANEXOS'!D90</f>
        <v>87576999.439999998</v>
      </c>
      <c r="D22" s="37">
        <v>82997568.329999998</v>
      </c>
      <c r="E22" s="37">
        <f>C22-D22</f>
        <v>4579431.1099999994</v>
      </c>
      <c r="F22" s="18"/>
    </row>
    <row r="23" spans="1:6" ht="21" customHeight="1" x14ac:dyDescent="0.25">
      <c r="A23" s="1" t="s">
        <v>53</v>
      </c>
      <c r="B23" s="17">
        <v>20</v>
      </c>
      <c r="C23" s="37">
        <f>+'A-RESULTADOS ANEXOS'!D115</f>
        <v>10728640.640000001</v>
      </c>
      <c r="D23" s="37">
        <v>8840809.9600000009</v>
      </c>
      <c r="E23" s="37">
        <f>C23-D23</f>
        <v>1887830.6799999997</v>
      </c>
      <c r="F23" s="18"/>
    </row>
    <row r="24" spans="1:6" ht="21" customHeight="1" x14ac:dyDescent="0.25">
      <c r="A24" s="1" t="s">
        <v>54</v>
      </c>
      <c r="B24" s="17">
        <v>21</v>
      </c>
      <c r="C24" s="506">
        <f>+'A-RESULTADOS ANEXOS'!D132</f>
        <v>230421053.81</v>
      </c>
      <c r="D24" s="506">
        <v>228202170.23999998</v>
      </c>
      <c r="E24" s="506">
        <f>C24-D24</f>
        <v>2218883.5700000226</v>
      </c>
      <c r="F24" s="18"/>
    </row>
    <row r="25" spans="1:6" ht="23.25" customHeight="1" x14ac:dyDescent="0.25">
      <c r="A25" s="15" t="s">
        <v>55</v>
      </c>
      <c r="B25" s="45"/>
      <c r="C25" s="48">
        <f>SUM(C21:C24)</f>
        <v>420811846.40999997</v>
      </c>
      <c r="D25" s="48">
        <f>SUM(D21:D24)</f>
        <v>393969214.64999998</v>
      </c>
      <c r="E25" s="48">
        <f>SUM(E21:E24)</f>
        <v>26842631.760000013</v>
      </c>
      <c r="F25" s="18"/>
    </row>
    <row r="26" spans="1:6" x14ac:dyDescent="0.25">
      <c r="B26" s="17"/>
      <c r="C26" s="37"/>
      <c r="D26" s="37"/>
      <c r="E26" s="37"/>
      <c r="F26" s="18"/>
    </row>
    <row r="27" spans="1:6" ht="22.5" customHeight="1" x14ac:dyDescent="0.25">
      <c r="A27" s="15" t="s">
        <v>56</v>
      </c>
      <c r="B27" s="45"/>
      <c r="C27" s="2">
        <f>+C17-C25</f>
        <v>-353074287.16999996</v>
      </c>
      <c r="D27" s="2">
        <v>-336360576.5</v>
      </c>
      <c r="E27" s="2">
        <f>+E17-E25</f>
        <v>-16713710.670000017</v>
      </c>
      <c r="F27" s="18"/>
    </row>
    <row r="28" spans="1:6" x14ac:dyDescent="0.25">
      <c r="B28" s="17"/>
      <c r="C28" s="37"/>
      <c r="D28" s="37"/>
      <c r="E28" s="37"/>
      <c r="F28" s="18"/>
    </row>
    <row r="29" spans="1:6" ht="23.25" customHeight="1" x14ac:dyDescent="0.25">
      <c r="A29" s="15" t="s">
        <v>57</v>
      </c>
      <c r="B29" s="45"/>
      <c r="F29" s="18"/>
    </row>
    <row r="30" spans="1:6" ht="21" customHeight="1" x14ac:dyDescent="0.25">
      <c r="A30" s="1" t="s">
        <v>58</v>
      </c>
      <c r="B30" s="17">
        <v>22</v>
      </c>
      <c r="C30" s="2">
        <f>+'A-RESULTADOS ANEXOS'!D136</f>
        <v>53728.87</v>
      </c>
      <c r="D30" s="2">
        <v>52617.02</v>
      </c>
      <c r="E30" s="2">
        <f>C30-D30</f>
        <v>1111.8500000000058</v>
      </c>
      <c r="F30" s="18"/>
    </row>
    <row r="31" spans="1:6" ht="21" customHeight="1" x14ac:dyDescent="0.25">
      <c r="A31" s="1" t="s">
        <v>59</v>
      </c>
      <c r="B31" s="17"/>
      <c r="C31" s="506">
        <f>+'A-RESULTADOS ANEXOS'!D137</f>
        <v>-62596.25</v>
      </c>
      <c r="D31" s="506">
        <v>-62596.25</v>
      </c>
      <c r="E31" s="506">
        <f>+C31-D31</f>
        <v>0</v>
      </c>
      <c r="F31" s="18"/>
    </row>
    <row r="32" spans="1:6" ht="39.75" customHeight="1" x14ac:dyDescent="0.25">
      <c r="A32" s="54" t="s">
        <v>60</v>
      </c>
      <c r="B32" s="15"/>
      <c r="C32" s="48">
        <f>SUM(C30:C31)</f>
        <v>-8867.3799999999974</v>
      </c>
      <c r="D32" s="48">
        <f>SUM(D30:D31)</f>
        <v>-9979.2300000000032</v>
      </c>
      <c r="E32" s="48">
        <f>SUM(E30:E31)</f>
        <v>1111.8500000000058</v>
      </c>
      <c r="F32" s="18"/>
    </row>
    <row r="33" spans="1:6" x14ac:dyDescent="0.25">
      <c r="C33" s="37"/>
      <c r="D33" s="37"/>
      <c r="E33" s="37"/>
      <c r="F33" s="18"/>
    </row>
    <row r="34" spans="1:6" x14ac:dyDescent="0.25">
      <c r="C34" s="37"/>
      <c r="D34" s="37"/>
      <c r="E34" s="37"/>
      <c r="F34" s="18"/>
    </row>
    <row r="35" spans="1:6" x14ac:dyDescent="0.25">
      <c r="C35" s="37"/>
      <c r="D35" s="37"/>
      <c r="E35" s="37"/>
      <c r="F35" s="18"/>
    </row>
    <row r="36" spans="1:6" ht="30" customHeight="1" thickBot="1" x14ac:dyDescent="0.3">
      <c r="A36" s="15" t="s">
        <v>61</v>
      </c>
      <c r="B36" s="38"/>
      <c r="C36" s="21">
        <f>C27+C32</f>
        <v>-353083154.54999995</v>
      </c>
      <c r="D36" s="21">
        <f>D27+D32</f>
        <v>-336370555.73000002</v>
      </c>
      <c r="E36" s="21">
        <f>E27+E32</f>
        <v>-16712598.820000017</v>
      </c>
      <c r="F36" s="18"/>
    </row>
    <row r="37" spans="1:6" ht="16.5" thickTop="1" x14ac:dyDescent="0.25">
      <c r="C37" s="515">
        <f>C27-C36+C32</f>
        <v>-4.765752237290144E-9</v>
      </c>
      <c r="D37" s="515">
        <f>D27-D36+D32</f>
        <v>1.9070284906774759E-8</v>
      </c>
      <c r="E37" s="515">
        <f>E27-E36+E32</f>
        <v>3.7834979593753815E-10</v>
      </c>
      <c r="F37" s="18"/>
    </row>
    <row r="38" spans="1:6" x14ac:dyDescent="0.25">
      <c r="C38" s="508"/>
      <c r="D38" s="509"/>
      <c r="E38" s="507"/>
      <c r="F38" s="18"/>
    </row>
    <row r="39" spans="1:6" x14ac:dyDescent="0.25">
      <c r="C39" s="508"/>
      <c r="D39" s="509"/>
      <c r="E39" s="507"/>
      <c r="F39" s="18"/>
    </row>
    <row r="40" spans="1:6" x14ac:dyDescent="0.25">
      <c r="A40" s="29"/>
      <c r="B40" s="29"/>
      <c r="C40" s="30"/>
      <c r="D40" s="30"/>
      <c r="E40" s="30"/>
      <c r="F40" s="18"/>
    </row>
    <row r="41" spans="1:6" x14ac:dyDescent="0.25">
      <c r="A41" s="39"/>
      <c r="B41" s="39"/>
      <c r="C41" s="30"/>
      <c r="D41" s="30"/>
      <c r="E41" s="30"/>
      <c r="F41" s="18"/>
    </row>
    <row r="42" spans="1:6" x14ac:dyDescent="0.25">
      <c r="A42" s="30"/>
      <c r="B42" s="30"/>
      <c r="C42" s="30"/>
      <c r="D42" s="30"/>
      <c r="E42" s="30"/>
    </row>
    <row r="43" spans="1:6" x14ac:dyDescent="0.25">
      <c r="A43" s="30"/>
      <c r="B43" s="30"/>
      <c r="C43" s="30"/>
      <c r="D43" s="30"/>
      <c r="E43" s="30"/>
    </row>
    <row r="44" spans="1:6" s="15" customFormat="1" x14ac:dyDescent="0.25">
      <c r="A44" s="244" t="s">
        <v>62</v>
      </c>
      <c r="B44" s="245"/>
      <c r="C44" s="245"/>
      <c r="D44" s="628" t="s">
        <v>36</v>
      </c>
      <c r="E44" s="628"/>
    </row>
    <row r="45" spans="1:6" ht="18.75" customHeight="1" x14ac:dyDescent="0.25">
      <c r="A45" s="40" t="str">
        <f>+'Estado Situación'!A57</f>
        <v>Encargado División de Contabilidad</v>
      </c>
      <c r="B45" s="30"/>
      <c r="C45" s="30"/>
      <c r="D45" s="629" t="s">
        <v>38</v>
      </c>
      <c r="E45" s="629"/>
    </row>
    <row r="46" spans="1:6" ht="32.25" customHeight="1" x14ac:dyDescent="0.25">
      <c r="A46" s="39"/>
      <c r="B46" s="39"/>
      <c r="C46" s="30"/>
      <c r="D46" s="30"/>
      <c r="E46" s="30"/>
    </row>
    <row r="47" spans="1:6" x14ac:dyDescent="0.25">
      <c r="A47" s="29"/>
      <c r="B47" s="29"/>
      <c r="C47" s="30"/>
      <c r="D47" s="30"/>
      <c r="E47" s="30"/>
    </row>
    <row r="48" spans="1:6" x14ac:dyDescent="0.25">
      <c r="A48" s="29"/>
      <c r="B48" s="29"/>
      <c r="C48" s="30"/>
      <c r="D48" s="30"/>
      <c r="E48" s="30"/>
    </row>
    <row r="49" spans="1:5" s="15" customFormat="1" x14ac:dyDescent="0.25">
      <c r="A49" s="626" t="s">
        <v>39</v>
      </c>
      <c r="B49" s="626"/>
      <c r="C49" s="626"/>
      <c r="D49" s="626"/>
      <c r="E49" s="626"/>
    </row>
    <row r="50" spans="1:5" x14ac:dyDescent="0.25">
      <c r="A50" s="627" t="s">
        <v>40</v>
      </c>
      <c r="B50" s="627"/>
      <c r="C50" s="627"/>
      <c r="D50" s="627"/>
      <c r="E50" s="627"/>
    </row>
    <row r="51" spans="1:5" x14ac:dyDescent="0.25">
      <c r="A51" s="29"/>
      <c r="B51" s="29"/>
      <c r="C51" s="30"/>
      <c r="D51" s="30"/>
      <c r="E51" s="30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honeticPr fontId="59" type="noConversion"/>
  <pageMargins left="0.82677165354330717" right="0.78740157480314965" top="0.43307086614173229" bottom="0.82677165354330717" header="0" footer="0"/>
  <pageSetup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I276"/>
  <sheetViews>
    <sheetView zoomScaleNormal="100" zoomScaleSheetLayoutView="80" workbookViewId="0">
      <selection activeCell="F168" sqref="F168"/>
    </sheetView>
  </sheetViews>
  <sheetFormatPr baseColWidth="10" defaultColWidth="11.5703125" defaultRowHeight="15.75" x14ac:dyDescent="0.25"/>
  <cols>
    <col min="1" max="1" width="3.7109375" style="1" customWidth="1"/>
    <col min="2" max="2" width="68.140625" style="1" customWidth="1"/>
    <col min="3" max="3" width="12.140625" style="17" customWidth="1"/>
    <col min="4" max="5" width="28.7109375" style="2" customWidth="1"/>
    <col min="6" max="6" width="24.7109375" style="2" bestFit="1" customWidth="1"/>
    <col min="7" max="7" width="15.42578125" style="1" bestFit="1" customWidth="1"/>
    <col min="8" max="8" width="20.28515625" style="2" bestFit="1" customWidth="1"/>
    <col min="9" max="9" width="11.5703125" style="1"/>
    <col min="10" max="10" width="21.5703125" style="1" bestFit="1" customWidth="1"/>
    <col min="11" max="16384" width="11.5703125" style="1"/>
  </cols>
  <sheetData>
    <row r="1" spans="2:6" x14ac:dyDescent="0.25">
      <c r="B1" s="41"/>
      <c r="C1" s="42"/>
      <c r="D1" s="43"/>
      <c r="E1" s="43"/>
      <c r="F1" s="43"/>
    </row>
    <row r="2" spans="2:6" x14ac:dyDescent="0.25">
      <c r="D2" s="1"/>
      <c r="E2" s="1"/>
      <c r="F2" s="1"/>
    </row>
    <row r="3" spans="2:6" x14ac:dyDescent="0.25">
      <c r="D3" s="1"/>
      <c r="E3" s="1"/>
      <c r="F3" s="1"/>
    </row>
    <row r="4" spans="2:6" x14ac:dyDescent="0.25">
      <c r="D4" s="1"/>
      <c r="E4" s="1"/>
      <c r="F4" s="1"/>
    </row>
    <row r="5" spans="2:6" x14ac:dyDescent="0.25">
      <c r="D5" s="1"/>
      <c r="E5" s="1"/>
      <c r="F5" s="1"/>
    </row>
    <row r="6" spans="2:6" ht="24.75" customHeight="1" x14ac:dyDescent="0.25">
      <c r="B6" s="15" t="s">
        <v>63</v>
      </c>
      <c r="C6" s="45"/>
      <c r="D6" s="15"/>
      <c r="E6" s="15"/>
      <c r="F6" s="15"/>
    </row>
    <row r="7" spans="2:6" ht="24.75" customHeight="1" x14ac:dyDescent="0.3">
      <c r="B7" s="44" t="s">
        <v>883</v>
      </c>
      <c r="C7" s="45"/>
      <c r="D7" s="15"/>
      <c r="E7" s="15"/>
      <c r="F7" s="15"/>
    </row>
    <row r="8" spans="2:6" ht="24.75" customHeight="1" x14ac:dyDescent="0.25">
      <c r="B8" s="15" t="s">
        <v>64</v>
      </c>
      <c r="C8" s="45"/>
      <c r="D8" s="15"/>
      <c r="E8" s="15"/>
      <c r="F8" s="15"/>
    </row>
    <row r="9" spans="2:6" ht="24.75" customHeight="1" x14ac:dyDescent="0.25">
      <c r="B9" s="15"/>
      <c r="C9" s="302" t="s">
        <v>4</v>
      </c>
      <c r="D9" s="302" t="s">
        <v>5</v>
      </c>
      <c r="E9" s="302" t="s">
        <v>6</v>
      </c>
      <c r="F9" s="302" t="s">
        <v>7</v>
      </c>
    </row>
    <row r="10" spans="2:6" ht="20.100000000000001" customHeight="1" x14ac:dyDescent="0.25">
      <c r="B10" s="15"/>
      <c r="C10" s="45"/>
      <c r="D10" s="15"/>
      <c r="E10" s="15"/>
      <c r="F10" s="15"/>
    </row>
    <row r="11" spans="2:6" ht="20.100000000000001" customHeight="1" x14ac:dyDescent="0.25">
      <c r="D11" s="1"/>
      <c r="E11" s="1"/>
      <c r="F11" s="1"/>
    </row>
    <row r="12" spans="2:6" ht="24.75" customHeight="1" x14ac:dyDescent="0.25">
      <c r="B12" s="15" t="s">
        <v>65</v>
      </c>
      <c r="C12" s="45">
        <v>1</v>
      </c>
      <c r="D12" s="1"/>
      <c r="E12" s="1"/>
      <c r="F12" s="1"/>
    </row>
    <row r="13" spans="2:6" ht="15.75" hidden="1" customHeight="1" x14ac:dyDescent="0.25">
      <c r="B13" s="1" t="s">
        <v>66</v>
      </c>
      <c r="D13" s="47">
        <f>+'Cédula Nota 1'!D9</f>
        <v>0</v>
      </c>
      <c r="E13" s="47">
        <v>0</v>
      </c>
      <c r="F13" s="47">
        <f t="shared" ref="F13:F18" si="0">D13-E13</f>
        <v>0</v>
      </c>
    </row>
    <row r="14" spans="2:6" ht="20.100000000000001" customHeight="1" x14ac:dyDescent="0.25">
      <c r="B14" s="1" t="s">
        <v>67</v>
      </c>
      <c r="D14" s="47">
        <f>+'Cédula Nota 1'!D10</f>
        <v>200000</v>
      </c>
      <c r="E14" s="47">
        <v>200000</v>
      </c>
      <c r="F14" s="47">
        <f t="shared" si="0"/>
        <v>0</v>
      </c>
    </row>
    <row r="15" spans="2:6" ht="20.100000000000001" customHeight="1" x14ac:dyDescent="0.25">
      <c r="B15" s="1" t="s">
        <v>68</v>
      </c>
      <c r="D15" s="47">
        <f>+'Cédula Nota 1'!D11</f>
        <v>421186687.64999998</v>
      </c>
      <c r="E15" s="47">
        <v>642058171.61000001</v>
      </c>
      <c r="F15" s="47">
        <f t="shared" si="0"/>
        <v>-220871483.96000004</v>
      </c>
    </row>
    <row r="16" spans="2:6" ht="20.100000000000001" customHeight="1" x14ac:dyDescent="0.25">
      <c r="B16" s="1" t="s">
        <v>69</v>
      </c>
      <c r="D16" s="47">
        <f>+'Cédula Nota 1'!D12</f>
        <v>46681.34</v>
      </c>
      <c r="E16" s="47">
        <v>46856.35</v>
      </c>
      <c r="F16" s="47">
        <f t="shared" si="0"/>
        <v>-175.01000000000204</v>
      </c>
    </row>
    <row r="17" spans="2:6" ht="20.100000000000001" customHeight="1" x14ac:dyDescent="0.25">
      <c r="B17" s="1" t="s">
        <v>70</v>
      </c>
      <c r="D17" s="47">
        <f>+'Cédula Nota 1'!D13</f>
        <v>17542.84</v>
      </c>
      <c r="E17" s="47">
        <v>18143.84</v>
      </c>
      <c r="F17" s="47">
        <f t="shared" si="0"/>
        <v>-601</v>
      </c>
    </row>
    <row r="18" spans="2:6" ht="20.100000000000001" customHeight="1" x14ac:dyDescent="0.25">
      <c r="B18" s="1" t="s">
        <v>71</v>
      </c>
      <c r="D18" s="47">
        <f>+'Cédula Nota 1'!D14</f>
        <v>1006959.0159999999</v>
      </c>
      <c r="E18" s="47">
        <v>1041456.42</v>
      </c>
      <c r="F18" s="47">
        <f t="shared" si="0"/>
        <v>-34497.404000000097</v>
      </c>
    </row>
    <row r="19" spans="2:6" ht="20.100000000000001" customHeight="1" x14ac:dyDescent="0.25">
      <c r="C19" s="303" t="s">
        <v>72</v>
      </c>
      <c r="D19" s="47"/>
      <c r="E19" s="47"/>
      <c r="F19" s="47"/>
    </row>
    <row r="20" spans="2:6" ht="24" customHeight="1" x14ac:dyDescent="0.25">
      <c r="B20" s="15" t="s">
        <v>73</v>
      </c>
      <c r="C20" s="45" t="s">
        <v>74</v>
      </c>
      <c r="D20" s="48">
        <f>SUM(D13:D18)</f>
        <v>422457870.8459999</v>
      </c>
      <c r="E20" s="48">
        <f t="shared" ref="E20:F20" si="1">SUM(E13:E18)</f>
        <v>643364628.22000003</v>
      </c>
      <c r="F20" s="48">
        <f t="shared" si="1"/>
        <v>-220906757.37400004</v>
      </c>
    </row>
    <row r="21" spans="2:6" ht="20.100000000000001" customHeight="1" x14ac:dyDescent="0.25">
      <c r="C21" s="17" t="s">
        <v>74</v>
      </c>
      <c r="D21" s="47"/>
      <c r="E21" s="47"/>
      <c r="F21" s="47"/>
    </row>
    <row r="22" spans="2:6" ht="20.100000000000001" customHeight="1" x14ac:dyDescent="0.25">
      <c r="C22" s="17" t="s">
        <v>74</v>
      </c>
      <c r="D22" s="47"/>
      <c r="E22" s="47"/>
      <c r="F22" s="47"/>
    </row>
    <row r="23" spans="2:6" ht="24.75" customHeight="1" x14ac:dyDescent="0.25">
      <c r="B23" s="15" t="s">
        <v>882</v>
      </c>
      <c r="C23" s="45">
        <v>2</v>
      </c>
      <c r="D23" s="1"/>
      <c r="E23" s="1"/>
      <c r="F23" s="1"/>
    </row>
    <row r="24" spans="2:6" ht="21" customHeight="1" x14ac:dyDescent="0.25">
      <c r="B24" s="1" t="s">
        <v>756</v>
      </c>
      <c r="C24" s="17" t="s">
        <v>74</v>
      </c>
      <c r="D24" s="47">
        <f>+'Cédula Nota 2 '!E12</f>
        <v>1170441062.6800001</v>
      </c>
      <c r="E24" s="47">
        <v>1160525927.23</v>
      </c>
      <c r="F24" s="47">
        <f t="shared" ref="F24" si="2">D24-E24</f>
        <v>9915135.4500000477</v>
      </c>
    </row>
    <row r="25" spans="2:6" ht="20.25" hidden="1" customHeight="1" x14ac:dyDescent="0.25">
      <c r="B25" s="1" t="s">
        <v>757</v>
      </c>
      <c r="D25" s="47">
        <v>0</v>
      </c>
      <c r="E25" s="47">
        <v>0</v>
      </c>
      <c r="F25" s="47">
        <f>D25-E25</f>
        <v>0</v>
      </c>
    </row>
    <row r="26" spans="2:6" ht="20.25" hidden="1" customHeight="1" x14ac:dyDescent="0.25">
      <c r="B26" s="1" t="s">
        <v>758</v>
      </c>
      <c r="C26" s="17" t="s">
        <v>74</v>
      </c>
      <c r="D26" s="47">
        <v>0</v>
      </c>
      <c r="E26" s="47">
        <v>0</v>
      </c>
      <c r="F26" s="47">
        <f>D26-E26</f>
        <v>0</v>
      </c>
    </row>
    <row r="27" spans="2:6" x14ac:dyDescent="0.25">
      <c r="C27" s="303" t="s">
        <v>72</v>
      </c>
      <c r="D27" s="47"/>
      <c r="E27" s="47"/>
      <c r="F27" s="47"/>
    </row>
    <row r="28" spans="2:6" ht="24" customHeight="1" x14ac:dyDescent="0.25">
      <c r="B28" s="15" t="s">
        <v>75</v>
      </c>
      <c r="C28" s="45" t="s">
        <v>74</v>
      </c>
      <c r="D28" s="48">
        <f>+D24</f>
        <v>1170441062.6800001</v>
      </c>
      <c r="E28" s="48">
        <f t="shared" ref="E28:F28" si="3">+E24</f>
        <v>1160525927.23</v>
      </c>
      <c r="F28" s="48">
        <f t="shared" si="3"/>
        <v>9915135.4500000477</v>
      </c>
    </row>
    <row r="29" spans="2:6" ht="20.100000000000001" customHeight="1" x14ac:dyDescent="0.25">
      <c r="C29" s="17" t="s">
        <v>74</v>
      </c>
      <c r="D29" s="47"/>
      <c r="E29" s="47"/>
      <c r="F29" s="47"/>
    </row>
    <row r="30" spans="2:6" ht="20.100000000000001" customHeight="1" x14ac:dyDescent="0.25">
      <c r="C30" s="17" t="s">
        <v>74</v>
      </c>
      <c r="D30" s="333"/>
      <c r="E30" s="47"/>
      <c r="F30" s="47"/>
    </row>
    <row r="31" spans="2:6" ht="24.75" customHeight="1" x14ac:dyDescent="0.25">
      <c r="B31" s="15" t="s">
        <v>76</v>
      </c>
      <c r="C31" s="45">
        <v>3</v>
      </c>
      <c r="D31" s="1"/>
      <c r="E31" s="1"/>
      <c r="F31" s="1"/>
    </row>
    <row r="32" spans="2:6" ht="20.100000000000001" customHeight="1" x14ac:dyDescent="0.25">
      <c r="B32" s="1" t="s">
        <v>77</v>
      </c>
      <c r="C32" s="17" t="s">
        <v>74</v>
      </c>
      <c r="D32" s="2">
        <f>+'Nota 3 Resumen'!C9</f>
        <v>7132898.709999999</v>
      </c>
      <c r="E32" s="2">
        <v>7312371.4000000004</v>
      </c>
      <c r="F32" s="47">
        <f t="shared" ref="F32:F35" si="4">D32-E32</f>
        <v>-179472.69000000134</v>
      </c>
    </row>
    <row r="33" spans="2:8" ht="20.100000000000001" customHeight="1" x14ac:dyDescent="0.25">
      <c r="B33" s="1" t="s">
        <v>78</v>
      </c>
      <c r="C33" s="17" t="s">
        <v>74</v>
      </c>
      <c r="D33" s="2">
        <f>+'Nota 3 Resumen'!C10</f>
        <v>4391646.49</v>
      </c>
      <c r="E33" s="2">
        <v>4391646.49</v>
      </c>
      <c r="F33" s="47">
        <f t="shared" si="4"/>
        <v>0</v>
      </c>
    </row>
    <row r="34" spans="2:8" ht="20.100000000000001" customHeight="1" x14ac:dyDescent="0.25">
      <c r="B34" s="1" t="s">
        <v>79</v>
      </c>
      <c r="D34" s="2">
        <f>+'Nota 3 CxC Emplead'!I11</f>
        <v>50873</v>
      </c>
      <c r="E34" s="2">
        <v>57412</v>
      </c>
      <c r="F34" s="47">
        <f t="shared" si="4"/>
        <v>-6539</v>
      </c>
    </row>
    <row r="35" spans="2:8" ht="20.100000000000001" customHeight="1" x14ac:dyDescent="0.25">
      <c r="B35" s="1" t="s">
        <v>80</v>
      </c>
      <c r="C35" s="17" t="s">
        <v>74</v>
      </c>
      <c r="D35" s="2">
        <f>+'Nota 3 Resumen'!C13</f>
        <v>240318.77</v>
      </c>
      <c r="E35" s="2">
        <v>227510.22000000003</v>
      </c>
      <c r="F35" s="47">
        <f t="shared" si="4"/>
        <v>12808.549999999959</v>
      </c>
    </row>
    <row r="36" spans="2:8" x14ac:dyDescent="0.25">
      <c r="C36" s="303" t="s">
        <v>72</v>
      </c>
    </row>
    <row r="37" spans="2:8" ht="24" customHeight="1" x14ac:dyDescent="0.25">
      <c r="B37" s="15" t="s">
        <v>81</v>
      </c>
      <c r="C37" s="45" t="s">
        <v>74</v>
      </c>
      <c r="D37" s="48">
        <f>SUM(D32:D35)</f>
        <v>11815736.969999999</v>
      </c>
      <c r="E37" s="48">
        <f t="shared" ref="E37:F37" si="5">SUM(E32:E35)</f>
        <v>11988940.110000001</v>
      </c>
      <c r="F37" s="48">
        <f t="shared" si="5"/>
        <v>-173203.14000000138</v>
      </c>
    </row>
    <row r="38" spans="2:8" ht="20.100000000000001" customHeight="1" x14ac:dyDescent="0.25">
      <c r="C38" s="17" t="s">
        <v>74</v>
      </c>
      <c r="D38" s="47"/>
      <c r="E38" s="47"/>
      <c r="F38" s="47"/>
    </row>
    <row r="39" spans="2:8" ht="20.100000000000001" customHeight="1" x14ac:dyDescent="0.25">
      <c r="C39" s="17" t="s">
        <v>74</v>
      </c>
      <c r="D39" s="47"/>
      <c r="E39" s="47"/>
      <c r="F39" s="47"/>
    </row>
    <row r="40" spans="2:8" ht="24.75" customHeight="1" x14ac:dyDescent="0.25">
      <c r="B40" s="15" t="s">
        <v>82</v>
      </c>
      <c r="C40" s="45">
        <v>4</v>
      </c>
      <c r="D40" s="1"/>
      <c r="E40" s="1"/>
      <c r="F40" s="1"/>
    </row>
    <row r="41" spans="2:8" ht="20.100000000000001" customHeight="1" x14ac:dyDescent="0.25">
      <c r="B41" s="1" t="s">
        <v>83</v>
      </c>
      <c r="C41" s="45"/>
      <c r="D41" s="47">
        <f>+'NOTA 4  INVENTARIO'!C23</f>
        <v>2325947.2799999998</v>
      </c>
      <c r="E41" s="47">
        <v>2475282.9099999997</v>
      </c>
      <c r="F41" s="47">
        <f t="shared" ref="F41:F42" si="6">D41-E41</f>
        <v>-149335.62999999989</v>
      </c>
    </row>
    <row r="42" spans="2:8" ht="20.100000000000001" customHeight="1" x14ac:dyDescent="0.25">
      <c r="B42" s="1" t="s">
        <v>84</v>
      </c>
      <c r="C42" s="45"/>
      <c r="D42" s="47">
        <f>+'NOTA 4  INVENTARIO'!C37</f>
        <v>914622.15</v>
      </c>
      <c r="E42" s="47">
        <v>930990.82</v>
      </c>
      <c r="F42" s="47">
        <f t="shared" si="6"/>
        <v>-16368.669999999925</v>
      </c>
    </row>
    <row r="43" spans="2:8" ht="20.100000000000001" customHeight="1" x14ac:dyDescent="0.25">
      <c r="C43" s="303" t="s">
        <v>72</v>
      </c>
      <c r="D43" s="47"/>
      <c r="E43" s="47"/>
      <c r="F43" s="47"/>
    </row>
    <row r="44" spans="2:8" ht="24" customHeight="1" x14ac:dyDescent="0.25">
      <c r="B44" s="15" t="s">
        <v>85</v>
      </c>
      <c r="C44" s="45" t="s">
        <v>74</v>
      </c>
      <c r="D44" s="48">
        <f>SUM(D41:D42)</f>
        <v>3240569.4299999997</v>
      </c>
      <c r="E44" s="48">
        <f t="shared" ref="E44:F44" si="7">SUM(E41:E42)</f>
        <v>3406273.7299999995</v>
      </c>
      <c r="F44" s="48">
        <f t="shared" si="7"/>
        <v>-165704.29999999981</v>
      </c>
    </row>
    <row r="45" spans="2:8" ht="20.100000000000001" customHeight="1" x14ac:dyDescent="0.25">
      <c r="C45" s="304"/>
      <c r="D45" s="47"/>
      <c r="E45" s="47"/>
      <c r="F45" s="47"/>
    </row>
    <row r="46" spans="2:8" ht="20.100000000000001" customHeight="1" x14ac:dyDescent="0.25">
      <c r="C46" s="304"/>
      <c r="D46" s="47"/>
      <c r="E46" s="47"/>
      <c r="F46" s="47"/>
    </row>
    <row r="47" spans="2:8" ht="24.75" customHeight="1" x14ac:dyDescent="0.25">
      <c r="B47" s="15" t="s">
        <v>86</v>
      </c>
      <c r="C47" s="45">
        <v>5</v>
      </c>
      <c r="D47" s="1"/>
      <c r="E47" s="1"/>
      <c r="F47" s="1"/>
    </row>
    <row r="48" spans="2:8" ht="20.100000000000001" customHeight="1" x14ac:dyDescent="0.25">
      <c r="B48" s="1" t="s">
        <v>87</v>
      </c>
      <c r="D48" s="47">
        <f>+'NOTA 5  GPA'!D9</f>
        <v>411103.11</v>
      </c>
      <c r="E48" s="47">
        <v>493323.73</v>
      </c>
      <c r="F48" s="47">
        <f t="shared" ref="F48:F49" si="8">D48-E48</f>
        <v>-82220.62</v>
      </c>
      <c r="H48" s="612">
        <v>411103.11</v>
      </c>
    </row>
    <row r="49" spans="2:8" ht="20.100000000000001" customHeight="1" x14ac:dyDescent="0.25">
      <c r="B49" s="1" t="s">
        <v>88</v>
      </c>
      <c r="D49" s="47">
        <f>+'NOTA 5  GPA'!D12+'NOTA 5  GPA'!D14+'NOTA 5  GPA'!D17</f>
        <v>2415150.7883333331</v>
      </c>
      <c r="E49" s="47">
        <v>2815280.9966666671</v>
      </c>
      <c r="F49" s="47">
        <f t="shared" si="8"/>
        <v>-400130.20833333395</v>
      </c>
      <c r="H49" s="612">
        <v>2415150.79</v>
      </c>
    </row>
    <row r="50" spans="2:8" ht="20.100000000000001" customHeight="1" x14ac:dyDescent="0.25">
      <c r="C50" s="303" t="s">
        <v>72</v>
      </c>
      <c r="D50" s="47"/>
      <c r="E50" s="47"/>
      <c r="F50" s="47"/>
    </row>
    <row r="51" spans="2:8" ht="24" customHeight="1" x14ac:dyDescent="0.25">
      <c r="B51" s="15" t="s">
        <v>89</v>
      </c>
      <c r="C51" s="45" t="s">
        <v>74</v>
      </c>
      <c r="D51" s="48">
        <f>SUM(D48:D49)</f>
        <v>2826253.898333333</v>
      </c>
      <c r="E51" s="48">
        <f t="shared" ref="E51:F51" si="9">SUM(E48:E49)</f>
        <v>3308604.726666667</v>
      </c>
      <c r="F51" s="48">
        <f t="shared" si="9"/>
        <v>-482350.82833333395</v>
      </c>
    </row>
    <row r="52" spans="2:8" ht="20.100000000000001" customHeight="1" x14ac:dyDescent="0.25">
      <c r="C52" s="17" t="s">
        <v>74</v>
      </c>
      <c r="D52" s="47"/>
      <c r="E52" s="47"/>
      <c r="F52" s="47"/>
    </row>
    <row r="53" spans="2:8" ht="20.100000000000001" customHeight="1" x14ac:dyDescent="0.25">
      <c r="D53" s="47"/>
      <c r="E53" s="47"/>
      <c r="F53" s="47"/>
    </row>
    <row r="54" spans="2:8" ht="24.75" customHeight="1" x14ac:dyDescent="0.25">
      <c r="B54" s="15" t="s">
        <v>90</v>
      </c>
      <c r="C54" s="45">
        <v>6</v>
      </c>
      <c r="D54" s="1"/>
      <c r="E54" s="1"/>
      <c r="F54" s="1"/>
    </row>
    <row r="55" spans="2:8" ht="20.100000000000001" customHeight="1" x14ac:dyDescent="0.25">
      <c r="B55" s="1" t="s">
        <v>91</v>
      </c>
      <c r="C55" s="45"/>
      <c r="D55" s="47">
        <v>695349700</v>
      </c>
      <c r="E55" s="47">
        <v>695349700</v>
      </c>
      <c r="F55" s="47">
        <f t="shared" ref="F55:F57" si="10">D55-E55</f>
        <v>0</v>
      </c>
    </row>
    <row r="56" spans="2:8" ht="20.100000000000001" customHeight="1" x14ac:dyDescent="0.25">
      <c r="B56" s="1" t="s">
        <v>92</v>
      </c>
      <c r="C56" s="305"/>
      <c r="D56" s="47">
        <f>+-309771035.29+-49893711.42</f>
        <v>-359664746.71000004</v>
      </c>
      <c r="E56" s="47">
        <v>-359664746.71000004</v>
      </c>
      <c r="F56" s="47">
        <f t="shared" si="10"/>
        <v>0</v>
      </c>
    </row>
    <row r="57" spans="2:8" ht="20.100000000000001" customHeight="1" x14ac:dyDescent="0.25">
      <c r="B57" s="1" t="s">
        <v>93</v>
      </c>
      <c r="C57" s="306"/>
      <c r="D57" s="307">
        <v>34767485</v>
      </c>
      <c r="E57" s="307">
        <v>34767485</v>
      </c>
      <c r="F57" s="307">
        <f t="shared" si="10"/>
        <v>0</v>
      </c>
    </row>
    <row r="58" spans="2:8" ht="24.75" customHeight="1" x14ac:dyDescent="0.25">
      <c r="B58" s="15" t="s">
        <v>94</v>
      </c>
      <c r="C58" s="45"/>
      <c r="D58" s="48">
        <f>SUM(D55:D57)</f>
        <v>370452438.28999996</v>
      </c>
      <c r="E58" s="48">
        <f t="shared" ref="E58:F58" si="11">SUM(E55:E57)</f>
        <v>370452438.28999996</v>
      </c>
      <c r="F58" s="48">
        <f t="shared" si="11"/>
        <v>0</v>
      </c>
    </row>
    <row r="59" spans="2:8" ht="20.100000000000001" customHeight="1" x14ac:dyDescent="0.25">
      <c r="B59" s="308"/>
      <c r="C59" s="45"/>
      <c r="D59" s="46"/>
      <c r="E59" s="46"/>
      <c r="F59" s="46"/>
    </row>
    <row r="60" spans="2:8" ht="20.100000000000001" customHeight="1" x14ac:dyDescent="0.25">
      <c r="C60" s="45"/>
      <c r="D60" s="47"/>
      <c r="E60" s="46"/>
      <c r="F60" s="47"/>
    </row>
    <row r="61" spans="2:8" ht="20.100000000000001" customHeight="1" x14ac:dyDescent="0.25">
      <c r="B61" s="1" t="s">
        <v>95</v>
      </c>
      <c r="C61" s="17" t="s">
        <v>74</v>
      </c>
      <c r="D61" s="47">
        <v>2816310100</v>
      </c>
      <c r="E61" s="47">
        <v>2816310100</v>
      </c>
      <c r="F61" s="47">
        <f t="shared" ref="F61:F63" si="12">D61-E61</f>
        <v>0</v>
      </c>
    </row>
    <row r="62" spans="2:8" ht="20.100000000000001" customHeight="1" x14ac:dyDescent="0.25">
      <c r="B62" s="1" t="s">
        <v>92</v>
      </c>
      <c r="D62" s="47">
        <f>989942533.2-676148765+60653227.05+18947380.94</f>
        <v>393394376.19000006</v>
      </c>
      <c r="E62" s="47">
        <v>374446995.25000006</v>
      </c>
      <c r="F62" s="47">
        <f t="shared" si="12"/>
        <v>18947380.939999998</v>
      </c>
    </row>
    <row r="63" spans="2:8" ht="20.100000000000001" customHeight="1" x14ac:dyDescent="0.25">
      <c r="B63" s="1" t="s">
        <v>93</v>
      </c>
      <c r="C63" s="309"/>
      <c r="D63" s="307">
        <v>281631010.64999998</v>
      </c>
      <c r="E63" s="307">
        <v>281631010.64999998</v>
      </c>
      <c r="F63" s="307">
        <f t="shared" si="12"/>
        <v>0</v>
      </c>
    </row>
    <row r="64" spans="2:8" ht="20.100000000000001" customHeight="1" x14ac:dyDescent="0.25">
      <c r="B64" s="15" t="s">
        <v>96</v>
      </c>
      <c r="C64" s="45"/>
      <c r="D64" s="48">
        <f>SUM(D61:D63)</f>
        <v>3491335486.8400002</v>
      </c>
      <c r="E64" s="48">
        <f>SUM(E61:E63)</f>
        <v>3472388105.9000001</v>
      </c>
      <c r="F64" s="48">
        <f>SUM(F61:F63)</f>
        <v>18947380.939999998</v>
      </c>
    </row>
    <row r="65" spans="2:6" ht="20.100000000000001" customHeight="1" x14ac:dyDescent="0.25">
      <c r="D65" s="47"/>
      <c r="E65" s="47"/>
      <c r="F65" s="47"/>
    </row>
    <row r="66" spans="2:6" ht="20.100000000000001" customHeight="1" x14ac:dyDescent="0.25">
      <c r="D66" s="47"/>
      <c r="E66" s="47"/>
      <c r="F66" s="47"/>
    </row>
    <row r="67" spans="2:6" ht="20.100000000000001" customHeight="1" x14ac:dyDescent="0.25">
      <c r="B67" s="1" t="s">
        <v>97</v>
      </c>
      <c r="D67" s="47">
        <v>251919000</v>
      </c>
      <c r="E67" s="47">
        <v>251919000</v>
      </c>
      <c r="F67" s="47">
        <f t="shared" ref="F67:F69" si="13">D67-E67</f>
        <v>0</v>
      </c>
    </row>
    <row r="68" spans="2:6" ht="20.100000000000001" customHeight="1" x14ac:dyDescent="0.25">
      <c r="B68" s="1" t="s">
        <v>92</v>
      </c>
      <c r="D68" s="47">
        <f>2060843894.79+50287783.14-432406.57</f>
        <v>2110699271.3600001</v>
      </c>
      <c r="E68" s="47">
        <v>2111131677.9300001</v>
      </c>
      <c r="F68" s="47">
        <f t="shared" si="13"/>
        <v>-432406.56999993324</v>
      </c>
    </row>
    <row r="69" spans="2:6" ht="20.100000000000001" customHeight="1" x14ac:dyDescent="0.25">
      <c r="B69" s="1" t="s">
        <v>93</v>
      </c>
      <c r="C69" s="309"/>
      <c r="D69" s="307">
        <v>25191900</v>
      </c>
      <c r="E69" s="307">
        <v>25191900</v>
      </c>
      <c r="F69" s="307">
        <f t="shared" si="13"/>
        <v>0</v>
      </c>
    </row>
    <row r="70" spans="2:6" ht="20.100000000000001" customHeight="1" x14ac:dyDescent="0.25">
      <c r="B70" s="15" t="s">
        <v>98</v>
      </c>
      <c r="C70" s="45"/>
      <c r="D70" s="48">
        <f>SUM(D67:D69)</f>
        <v>2387810171.3600001</v>
      </c>
      <c r="E70" s="48">
        <f>SUM(E67:E69)</f>
        <v>2388242577.9300003</v>
      </c>
      <c r="F70" s="48">
        <f>SUM(F67:F69)</f>
        <v>-432406.56999993324</v>
      </c>
    </row>
    <row r="71" spans="2:6" ht="20.100000000000001" customHeight="1" x14ac:dyDescent="0.25">
      <c r="D71" s="47"/>
      <c r="E71" s="47"/>
      <c r="F71" s="47"/>
    </row>
    <row r="72" spans="2:6" ht="20.100000000000001" customHeight="1" x14ac:dyDescent="0.25">
      <c r="D72" s="47"/>
      <c r="E72" s="47"/>
      <c r="F72" s="47"/>
    </row>
    <row r="73" spans="2:6" ht="20.100000000000001" customHeight="1" x14ac:dyDescent="0.25">
      <c r="B73" s="1" t="s">
        <v>99</v>
      </c>
      <c r="D73" s="47">
        <v>2297250000</v>
      </c>
      <c r="E73" s="47">
        <v>2297250000</v>
      </c>
      <c r="F73" s="47">
        <f t="shared" ref="F73:F75" si="14">D73-E73</f>
        <v>0</v>
      </c>
    </row>
    <row r="74" spans="2:6" ht="20.100000000000001" customHeight="1" x14ac:dyDescent="0.25">
      <c r="B74" s="1" t="s">
        <v>92</v>
      </c>
      <c r="D74" s="47">
        <f>5858832680.62-78754498.23+143075753.46</f>
        <v>5923153935.8500004</v>
      </c>
      <c r="E74" s="47">
        <v>5780078182.3900003</v>
      </c>
      <c r="F74" s="47">
        <f t="shared" si="14"/>
        <v>143075753.46000004</v>
      </c>
    </row>
    <row r="75" spans="2:6" ht="20.100000000000001" customHeight="1" x14ac:dyDescent="0.25">
      <c r="B75" s="1" t="s">
        <v>93</v>
      </c>
      <c r="C75" s="309"/>
      <c r="D75" s="307">
        <v>229725000.47999999</v>
      </c>
      <c r="E75" s="307">
        <v>229725000.47999999</v>
      </c>
      <c r="F75" s="307">
        <f t="shared" si="14"/>
        <v>0</v>
      </c>
    </row>
    <row r="76" spans="2:6" ht="20.100000000000001" customHeight="1" x14ac:dyDescent="0.25">
      <c r="B76" s="15" t="s">
        <v>100</v>
      </c>
      <c r="C76" s="45"/>
      <c r="D76" s="48">
        <f>SUM(D73:D75)</f>
        <v>8450128936.3299999</v>
      </c>
      <c r="E76" s="48">
        <f>SUM(E73:E75)</f>
        <v>8307053182.8699999</v>
      </c>
      <c r="F76" s="48">
        <f>SUM(F73:F75)</f>
        <v>143075753.46000004</v>
      </c>
    </row>
    <row r="77" spans="2:6" ht="20.100000000000001" customHeight="1" x14ac:dyDescent="0.25">
      <c r="B77" s="308"/>
      <c r="D77" s="46"/>
      <c r="E77" s="46"/>
      <c r="F77" s="46"/>
    </row>
    <row r="78" spans="2:6" ht="20.100000000000001" customHeight="1" x14ac:dyDescent="0.25">
      <c r="D78" s="47"/>
      <c r="E78" s="47"/>
      <c r="F78" s="47"/>
    </row>
    <row r="79" spans="2:6" ht="20.100000000000001" customHeight="1" x14ac:dyDescent="0.25">
      <c r="B79" s="1" t="s">
        <v>101</v>
      </c>
      <c r="D79" s="310">
        <v>3240339500</v>
      </c>
      <c r="E79" s="47">
        <v>3240339500</v>
      </c>
      <c r="F79" s="47">
        <f t="shared" ref="F79:F80" si="15">D79-E79</f>
        <v>0</v>
      </c>
    </row>
    <row r="80" spans="2:6" ht="20.100000000000001" customHeight="1" x14ac:dyDescent="0.25">
      <c r="B80" s="1" t="s">
        <v>92</v>
      </c>
      <c r="D80" s="307">
        <v>-3240339500</v>
      </c>
      <c r="E80" s="307">
        <v>-3240339500</v>
      </c>
      <c r="F80" s="307">
        <f t="shared" si="15"/>
        <v>0</v>
      </c>
    </row>
    <row r="81" spans="2:9" ht="24.75" customHeight="1" x14ac:dyDescent="0.25">
      <c r="B81" s="15" t="s">
        <v>102</v>
      </c>
      <c r="C81" s="45"/>
      <c r="D81" s="48">
        <f>SUM(D79:D80)</f>
        <v>0</v>
      </c>
      <c r="E81" s="48">
        <f>SUM(E79:E80)</f>
        <v>0</v>
      </c>
      <c r="F81" s="48">
        <f>SUM(F79:F80)</f>
        <v>0</v>
      </c>
    </row>
    <row r="82" spans="2:9" ht="20.100000000000001" customHeight="1" x14ac:dyDescent="0.25">
      <c r="D82" s="47"/>
      <c r="E82" s="47"/>
      <c r="F82" s="47"/>
    </row>
    <row r="83" spans="2:9" ht="20.100000000000001" customHeight="1" x14ac:dyDescent="0.25">
      <c r="D83" s="47"/>
      <c r="E83" s="47"/>
      <c r="F83" s="47"/>
      <c r="I83" s="18"/>
    </row>
    <row r="84" spans="2:9" ht="20.100000000000001" customHeight="1" x14ac:dyDescent="0.25">
      <c r="B84" s="1" t="s">
        <v>103</v>
      </c>
      <c r="D84" s="310">
        <v>3475097800</v>
      </c>
      <c r="E84" s="47">
        <v>3475097800</v>
      </c>
      <c r="F84" s="47">
        <f t="shared" ref="F84:F85" si="16">D84-E84</f>
        <v>0</v>
      </c>
    </row>
    <row r="85" spans="2:9" ht="20.100000000000001" customHeight="1" x14ac:dyDescent="0.25">
      <c r="B85" s="1" t="s">
        <v>92</v>
      </c>
      <c r="D85" s="307">
        <v>-3475097800</v>
      </c>
      <c r="E85" s="307">
        <v>-3475097800</v>
      </c>
      <c r="F85" s="307">
        <f t="shared" si="16"/>
        <v>0</v>
      </c>
    </row>
    <row r="86" spans="2:9" ht="20.100000000000001" customHeight="1" x14ac:dyDescent="0.25">
      <c r="B86" s="15" t="s">
        <v>104</v>
      </c>
      <c r="C86" s="45"/>
      <c r="D86" s="48">
        <f>SUM(D84:D85)</f>
        <v>0</v>
      </c>
      <c r="E86" s="48">
        <f>SUM(E84:E85)</f>
        <v>0</v>
      </c>
      <c r="F86" s="48">
        <f>SUM(F84:F85)</f>
        <v>0</v>
      </c>
    </row>
    <row r="87" spans="2:9" ht="20.100000000000001" customHeight="1" x14ac:dyDescent="0.25">
      <c r="D87" s="47"/>
      <c r="E87" s="47"/>
      <c r="F87" s="47"/>
    </row>
    <row r="88" spans="2:9" ht="20.100000000000001" customHeight="1" x14ac:dyDescent="0.25">
      <c r="D88" s="47"/>
      <c r="E88" s="47"/>
      <c r="F88" s="47"/>
    </row>
    <row r="89" spans="2:9" ht="20.100000000000001" customHeight="1" x14ac:dyDescent="0.25">
      <c r="B89" s="1" t="s">
        <v>105</v>
      </c>
      <c r="D89" s="47">
        <v>3462816000</v>
      </c>
      <c r="E89" s="47">
        <v>3462816000</v>
      </c>
      <c r="F89" s="47">
        <f t="shared" ref="F89:F90" si="17">D89-E89</f>
        <v>0</v>
      </c>
    </row>
    <row r="90" spans="2:9" ht="20.100000000000001" customHeight="1" x14ac:dyDescent="0.25">
      <c r="B90" s="1" t="s">
        <v>92</v>
      </c>
      <c r="D90" s="307">
        <v>-3462816000</v>
      </c>
      <c r="E90" s="307">
        <v>-3462816000</v>
      </c>
      <c r="F90" s="307">
        <f t="shared" si="17"/>
        <v>0</v>
      </c>
    </row>
    <row r="91" spans="2:9" ht="20.100000000000001" customHeight="1" x14ac:dyDescent="0.25">
      <c r="B91" s="15" t="s">
        <v>106</v>
      </c>
      <c r="C91" s="45"/>
      <c r="D91" s="48">
        <f>SUM(D89:D90)</f>
        <v>0</v>
      </c>
      <c r="E91" s="48">
        <f>SUM(E89:E90)</f>
        <v>0</v>
      </c>
      <c r="F91" s="48">
        <f>SUM(F89:F90)</f>
        <v>0</v>
      </c>
    </row>
    <row r="92" spans="2:9" ht="20.100000000000001" customHeight="1" x14ac:dyDescent="0.25">
      <c r="B92" s="499"/>
      <c r="C92" s="45"/>
      <c r="D92" s="48"/>
      <c r="E92" s="48"/>
      <c r="F92" s="48"/>
    </row>
    <row r="93" spans="2:9" ht="20.100000000000001" customHeight="1" x14ac:dyDescent="0.25">
      <c r="B93" s="15"/>
      <c r="C93" s="45"/>
      <c r="D93" s="48"/>
      <c r="E93" s="48"/>
      <c r="F93" s="48"/>
    </row>
    <row r="94" spans="2:9" ht="39" customHeight="1" x14ac:dyDescent="0.25">
      <c r="B94" s="461" t="s">
        <v>760</v>
      </c>
      <c r="D94" s="47">
        <v>134998789</v>
      </c>
      <c r="E94" s="47">
        <v>134998789</v>
      </c>
      <c r="F94" s="47">
        <f t="shared" ref="F94:F95" si="18">D94-E94</f>
        <v>0</v>
      </c>
    </row>
    <row r="95" spans="2:9" ht="20.100000000000001" customHeight="1" x14ac:dyDescent="0.25">
      <c r="B95" s="1" t="s">
        <v>92</v>
      </c>
      <c r="D95" s="307">
        <f>1709914.86-5224504.5</f>
        <v>-3514589.6399999997</v>
      </c>
      <c r="E95" s="307">
        <v>-3514589.6399999997</v>
      </c>
      <c r="F95" s="307">
        <f t="shared" si="18"/>
        <v>0</v>
      </c>
    </row>
    <row r="96" spans="2:9" ht="20.100000000000001" customHeight="1" x14ac:dyDescent="0.25">
      <c r="B96" s="15" t="s">
        <v>759</v>
      </c>
      <c r="C96" s="45"/>
      <c r="D96" s="48">
        <f>SUM(D94:D95)</f>
        <v>131484199.36</v>
      </c>
      <c r="E96" s="48">
        <f>SUM(E94:E95)</f>
        <v>131484199.36</v>
      </c>
      <c r="F96" s="52">
        <f>+D96-E96</f>
        <v>0</v>
      </c>
    </row>
    <row r="97" spans="2:8" ht="20.100000000000001" customHeight="1" x14ac:dyDescent="0.25">
      <c r="B97" s="15"/>
      <c r="C97" s="45"/>
      <c r="D97" s="48"/>
      <c r="E97" s="48"/>
      <c r="F97" s="48"/>
    </row>
    <row r="98" spans="2:8" ht="20.100000000000001" customHeight="1" x14ac:dyDescent="0.25">
      <c r="B98" s="15"/>
      <c r="C98" s="45"/>
      <c r="D98" s="48"/>
      <c r="E98" s="48"/>
      <c r="F98" s="48"/>
    </row>
    <row r="99" spans="2:8" ht="39.75" customHeight="1" x14ac:dyDescent="0.25">
      <c r="B99" s="461" t="s">
        <v>761</v>
      </c>
      <c r="D99" s="47">
        <v>30000</v>
      </c>
      <c r="E99" s="47">
        <v>30000</v>
      </c>
      <c r="F99" s="47">
        <f t="shared" ref="F99:F100" si="19">D99-E99</f>
        <v>0</v>
      </c>
    </row>
    <row r="100" spans="2:8" ht="20.100000000000001" customHeight="1" x14ac:dyDescent="0.25">
      <c r="B100" s="1" t="s">
        <v>92</v>
      </c>
      <c r="D100" s="307">
        <v>0</v>
      </c>
      <c r="E100" s="307">
        <v>0</v>
      </c>
      <c r="F100" s="307">
        <f t="shared" si="19"/>
        <v>0</v>
      </c>
    </row>
    <row r="101" spans="2:8" ht="20.100000000000001" customHeight="1" x14ac:dyDescent="0.25">
      <c r="B101" s="15" t="s">
        <v>762</v>
      </c>
      <c r="C101" s="45"/>
      <c r="D101" s="48">
        <f>SUM(D99:D100)</f>
        <v>30000</v>
      </c>
      <c r="E101" s="48">
        <f>SUM(E99:E100)</f>
        <v>30000</v>
      </c>
      <c r="F101" s="52">
        <f>+D101-E101</f>
        <v>0</v>
      </c>
    </row>
    <row r="102" spans="2:8" ht="20.100000000000001" customHeight="1" x14ac:dyDescent="0.25">
      <c r="C102" s="303" t="s">
        <v>72</v>
      </c>
      <c r="D102" s="47"/>
      <c r="E102" s="47"/>
      <c r="F102" s="85"/>
    </row>
    <row r="103" spans="2:8" ht="24" customHeight="1" x14ac:dyDescent="0.25">
      <c r="B103" s="15" t="s">
        <v>107</v>
      </c>
      <c r="C103" s="45" t="s">
        <v>74</v>
      </c>
      <c r="D103" s="48">
        <f>+D58+D64+D70+D76+D81+D86+D91+D96+D101</f>
        <v>14831241232.18</v>
      </c>
      <c r="E103" s="48">
        <f>+E58+E64+E70+E76+E81+E86+E91+E96+E101</f>
        <v>14669650504.350002</v>
      </c>
      <c r="F103" s="48">
        <f>+F58+F64+F70+F76+F81+F86+F91+F96+F101</f>
        <v>161590727.8300001</v>
      </c>
    </row>
    <row r="104" spans="2:8" ht="20.100000000000001" customHeight="1" x14ac:dyDescent="0.25">
      <c r="B104" s="15"/>
      <c r="D104" s="351"/>
      <c r="E104" s="46"/>
      <c r="F104" s="46"/>
      <c r="H104" s="612"/>
    </row>
    <row r="105" spans="2:8" ht="20.100000000000001" customHeight="1" x14ac:dyDescent="0.25">
      <c r="B105" s="50"/>
      <c r="C105" s="309"/>
      <c r="E105" s="46"/>
      <c r="F105" s="46"/>
    </row>
    <row r="106" spans="2:8" ht="24.75" customHeight="1" x14ac:dyDescent="0.25">
      <c r="B106" s="15" t="s">
        <v>108</v>
      </c>
      <c r="C106" s="45">
        <v>7</v>
      </c>
      <c r="D106" s="1"/>
      <c r="E106" s="1"/>
      <c r="F106" s="1"/>
      <c r="H106" s="127"/>
    </row>
    <row r="107" spans="2:8" ht="20.100000000000001" customHeight="1" x14ac:dyDescent="0.25">
      <c r="B107" s="1" t="s">
        <v>109</v>
      </c>
      <c r="D107" s="47">
        <f>+'NOTA 7-AVANCES A FUTURAS CAPIT'!C14</f>
        <v>431156800</v>
      </c>
      <c r="E107" s="47">
        <v>431156800</v>
      </c>
      <c r="F107" s="47">
        <f t="shared" ref="F107:F111" si="20">D107-E107</f>
        <v>0</v>
      </c>
      <c r="H107" s="127"/>
    </row>
    <row r="108" spans="2:8" ht="20.100000000000001" customHeight="1" x14ac:dyDescent="0.25">
      <c r="B108" s="1" t="s">
        <v>110</v>
      </c>
      <c r="D108" s="47">
        <f>+'NOTA 7-AVANCES A FUTURAS CAPIT'!C15</f>
        <v>396750000</v>
      </c>
      <c r="E108" s="47">
        <v>396750000</v>
      </c>
      <c r="F108" s="47">
        <f t="shared" si="20"/>
        <v>0</v>
      </c>
      <c r="H108" s="127"/>
    </row>
    <row r="109" spans="2:8" ht="20.100000000000001" customHeight="1" x14ac:dyDescent="0.25">
      <c r="B109" s="1" t="s">
        <v>111</v>
      </c>
      <c r="D109" s="47">
        <f>+'NOTA 7-AVANCES A FUTURAS CAPIT'!C16</f>
        <v>1166750000</v>
      </c>
      <c r="E109" s="47">
        <v>1166750000</v>
      </c>
      <c r="F109" s="47">
        <f t="shared" si="20"/>
        <v>0</v>
      </c>
      <c r="H109" s="127"/>
    </row>
    <row r="110" spans="2:8" ht="20.100000000000001" customHeight="1" x14ac:dyDescent="0.25">
      <c r="B110" s="1" t="s">
        <v>265</v>
      </c>
      <c r="D110" s="47">
        <f>+'NOTA 7-AVANCES A FUTURAS CAPIT'!C17</f>
        <v>100000000</v>
      </c>
      <c r="E110" s="47">
        <v>0</v>
      </c>
      <c r="F110" s="47">
        <f t="shared" si="20"/>
        <v>100000000</v>
      </c>
      <c r="H110" s="127"/>
    </row>
    <row r="111" spans="2:8" ht="20.100000000000001" customHeight="1" x14ac:dyDescent="0.25">
      <c r="B111" s="1" t="s">
        <v>886</v>
      </c>
      <c r="D111" s="47">
        <f>+'NOTA 7-AVANCES A FUTURAS CAPIT'!C18</f>
        <v>84100000</v>
      </c>
      <c r="E111" s="47">
        <v>0</v>
      </c>
      <c r="F111" s="47">
        <f t="shared" si="20"/>
        <v>84100000</v>
      </c>
      <c r="H111" s="127"/>
    </row>
    <row r="112" spans="2:8" ht="20.100000000000001" customHeight="1" x14ac:dyDescent="0.25">
      <c r="C112" s="303" t="s">
        <v>72</v>
      </c>
      <c r="D112" s="47"/>
      <c r="E112" s="47"/>
      <c r="F112" s="47"/>
      <c r="H112" s="127"/>
    </row>
    <row r="113" spans="2:8" ht="24" customHeight="1" x14ac:dyDescent="0.25">
      <c r="B113" s="15" t="s">
        <v>112</v>
      </c>
      <c r="C113" s="45" t="s">
        <v>74</v>
      </c>
      <c r="D113" s="48">
        <f>SUM(D107:D111)</f>
        <v>2178756800</v>
      </c>
      <c r="E113" s="48">
        <f>SUM(E107:E111)</f>
        <v>1994656800</v>
      </c>
      <c r="F113" s="48">
        <f>SUM(F107:F111)</f>
        <v>184100000</v>
      </c>
      <c r="H113" s="127"/>
    </row>
    <row r="114" spans="2:8" ht="20.100000000000001" customHeight="1" x14ac:dyDescent="0.25">
      <c r="B114" s="15"/>
      <c r="D114" s="46"/>
      <c r="E114" s="46"/>
      <c r="F114" s="46"/>
    </row>
    <row r="115" spans="2:8" ht="20.100000000000001" customHeight="1" x14ac:dyDescent="0.25">
      <c r="B115" s="50"/>
      <c r="C115" s="309"/>
      <c r="D115" s="46"/>
      <c r="E115" s="46"/>
      <c r="F115" s="46"/>
    </row>
    <row r="116" spans="2:8" ht="24.75" customHeight="1" x14ac:dyDescent="0.25">
      <c r="B116" s="15" t="s">
        <v>113</v>
      </c>
      <c r="C116" s="45">
        <v>8</v>
      </c>
      <c r="D116" s="1"/>
      <c r="E116" s="1"/>
      <c r="F116" s="1"/>
    </row>
    <row r="117" spans="2:8" ht="20.100000000000001" customHeight="1" x14ac:dyDescent="0.25">
      <c r="B117" s="1" t="s">
        <v>114</v>
      </c>
      <c r="D117" s="392">
        <f>+'NOTA 8-MOBILIARIO Y EQUIPOS, NE'!C17</f>
        <v>57977398.519999996</v>
      </c>
      <c r="E117" s="47">
        <v>57967280.019999996</v>
      </c>
      <c r="F117" s="47">
        <f t="shared" ref="F117:F124" si="21">D117-E117</f>
        <v>10118.5</v>
      </c>
      <c r="G117" s="47"/>
    </row>
    <row r="118" spans="2:8" ht="20.100000000000001" customHeight="1" x14ac:dyDescent="0.25">
      <c r="B118" s="1" t="s">
        <v>115</v>
      </c>
      <c r="D118" s="393">
        <f>+-'NOTA 8-MOBILIARIO Y EQUIPOS, NE'!C24</f>
        <v>-41522351.930000007</v>
      </c>
      <c r="E118" s="47">
        <v>-41004460.860000007</v>
      </c>
      <c r="F118" s="47">
        <f t="shared" si="21"/>
        <v>-517891.0700000003</v>
      </c>
    </row>
    <row r="119" spans="2:8" ht="20.100000000000001" customHeight="1" x14ac:dyDescent="0.25">
      <c r="B119" s="1" t="s">
        <v>116</v>
      </c>
      <c r="C119" s="309"/>
      <c r="D119" s="393">
        <f>+'NOTA 8-MOBILIARIO Y EQUIPOS, NE'!D17</f>
        <v>1003826</v>
      </c>
      <c r="E119" s="47">
        <v>1003826</v>
      </c>
      <c r="F119" s="47">
        <f t="shared" si="21"/>
        <v>0</v>
      </c>
    </row>
    <row r="120" spans="2:8" ht="20.100000000000001" customHeight="1" x14ac:dyDescent="0.25">
      <c r="B120" s="1" t="s">
        <v>115</v>
      </c>
      <c r="C120" s="309"/>
      <c r="D120" s="393">
        <f>+-'NOTA 8-MOBILIARIO Y EQUIPOS, NE'!D24</f>
        <v>-552104.85</v>
      </c>
      <c r="E120" s="47">
        <v>-535374.4</v>
      </c>
      <c r="F120" s="47">
        <f t="shared" si="21"/>
        <v>-16730.449999999953</v>
      </c>
    </row>
    <row r="121" spans="2:8" ht="20.100000000000001" customHeight="1" x14ac:dyDescent="0.25">
      <c r="B121" s="1" t="s">
        <v>117</v>
      </c>
      <c r="C121" s="309"/>
      <c r="D121" s="393">
        <f>+'NOTA 8-MOBILIARIO Y EQUIPOS, NE'!E17</f>
        <v>25682855.010000002</v>
      </c>
      <c r="E121" s="47">
        <v>25682855.010000002</v>
      </c>
      <c r="F121" s="47">
        <f t="shared" si="21"/>
        <v>0</v>
      </c>
    </row>
    <row r="122" spans="2:8" ht="20.100000000000001" customHeight="1" x14ac:dyDescent="0.25">
      <c r="B122" s="1" t="s">
        <v>115</v>
      </c>
      <c r="C122" s="309"/>
      <c r="D122" s="415">
        <f>+-'NOTA 8-MOBILIARIO Y EQUIPOS, NE'!E24</f>
        <v>-21689345.870000001</v>
      </c>
      <c r="E122" s="2">
        <v>-21586948.210000001</v>
      </c>
      <c r="F122" s="47">
        <f t="shared" si="21"/>
        <v>-102397.66000000015</v>
      </c>
    </row>
    <row r="123" spans="2:8" ht="20.100000000000001" customHeight="1" x14ac:dyDescent="0.25">
      <c r="B123" s="1" t="s">
        <v>118</v>
      </c>
      <c r="C123" s="309" t="s">
        <v>74</v>
      </c>
      <c r="D123" s="415">
        <f>+'NOTA 8-MOBILIARIO Y EQUIPOS, NE'!I17</f>
        <v>5881555.6499999994</v>
      </c>
      <c r="E123" s="2">
        <v>5881555.6499999994</v>
      </c>
      <c r="F123" s="47">
        <f t="shared" si="21"/>
        <v>0</v>
      </c>
    </row>
    <row r="124" spans="2:8" ht="20.100000000000001" customHeight="1" x14ac:dyDescent="0.25">
      <c r="B124" s="1" t="s">
        <v>119</v>
      </c>
      <c r="C124" s="309"/>
      <c r="D124" s="415">
        <f>+-'NOTA 8-MOBILIARIO Y EQUIPOS, NE'!I24</f>
        <v>-5881555.6499999994</v>
      </c>
      <c r="E124" s="2">
        <v>-5881555.6499999994</v>
      </c>
      <c r="F124" s="47">
        <f t="shared" si="21"/>
        <v>0</v>
      </c>
    </row>
    <row r="125" spans="2:8" ht="20.100000000000001" customHeight="1" x14ac:dyDescent="0.25">
      <c r="C125" s="303" t="s">
        <v>72</v>
      </c>
      <c r="D125" s="47"/>
      <c r="E125" s="47"/>
      <c r="F125" s="392"/>
    </row>
    <row r="126" spans="2:8" ht="20.100000000000001" customHeight="1" x14ac:dyDescent="0.25">
      <c r="B126" s="15" t="s">
        <v>120</v>
      </c>
      <c r="C126" s="45" t="s">
        <v>74</v>
      </c>
      <c r="D126" s="48">
        <f>SUM(D117:D124)</f>
        <v>20900276.879999984</v>
      </c>
      <c r="E126" s="48">
        <f>SUM(E117:E124)</f>
        <v>21527177.559999995</v>
      </c>
      <c r="F126" s="48">
        <f>SUM(F117:F124)</f>
        <v>-626900.6800000004</v>
      </c>
    </row>
    <row r="127" spans="2:8" ht="20.100000000000001" customHeight="1" x14ac:dyDescent="0.25">
      <c r="B127" s="18"/>
      <c r="C127" s="17" t="s">
        <v>74</v>
      </c>
      <c r="D127" s="47"/>
      <c r="E127" s="47"/>
      <c r="F127" s="47"/>
    </row>
    <row r="128" spans="2:8" ht="20.100000000000001" customHeight="1" x14ac:dyDescent="0.25">
      <c r="B128" s="18"/>
      <c r="C128" s="17" t="s">
        <v>74</v>
      </c>
      <c r="D128" s="47"/>
      <c r="E128" s="47"/>
      <c r="F128" s="47"/>
      <c r="G128" s="47"/>
    </row>
    <row r="129" spans="2:6" ht="24.75" customHeight="1" x14ac:dyDescent="0.25">
      <c r="B129" s="15" t="s">
        <v>121</v>
      </c>
      <c r="C129" s="45">
        <v>9</v>
      </c>
      <c r="D129" s="1"/>
      <c r="E129" s="1"/>
      <c r="F129" s="1"/>
    </row>
    <row r="130" spans="2:6" ht="20.100000000000001" customHeight="1" x14ac:dyDescent="0.25">
      <c r="B130" s="1" t="s">
        <v>122</v>
      </c>
      <c r="D130" s="47">
        <f>+'NOTA 9-CEDULAS CxP PROVEEDORES '!C9</f>
        <v>1999625.43</v>
      </c>
      <c r="E130" s="47">
        <v>2717098.61</v>
      </c>
      <c r="F130" s="47">
        <f t="shared" ref="F130:F135" si="22">D130-E130</f>
        <v>-717473.17999999993</v>
      </c>
    </row>
    <row r="131" spans="2:6" ht="20.100000000000001" customHeight="1" x14ac:dyDescent="0.25">
      <c r="B131" s="1" t="s">
        <v>123</v>
      </c>
      <c r="D131" s="310">
        <f>+'NOTA 9-CEDULAS CxP PROVEEDORES '!C10</f>
        <v>5305.45</v>
      </c>
      <c r="E131" s="47">
        <v>661215.46</v>
      </c>
      <c r="F131" s="47">
        <f t="shared" si="22"/>
        <v>-655910.01</v>
      </c>
    </row>
    <row r="132" spans="2:6" ht="20.100000000000001" customHeight="1" x14ac:dyDescent="0.25">
      <c r="B132" s="1" t="s">
        <v>124</v>
      </c>
      <c r="C132" s="17" t="s">
        <v>74</v>
      </c>
      <c r="D132" s="310">
        <f>+'NOTA 9-CEDULAS CxP PROVEEDORES '!C11</f>
        <v>154294.20000000001</v>
      </c>
      <c r="E132" s="43">
        <v>69365.95</v>
      </c>
      <c r="F132" s="47">
        <f t="shared" si="22"/>
        <v>84928.250000000015</v>
      </c>
    </row>
    <row r="133" spans="2:6" ht="20.100000000000001" customHeight="1" x14ac:dyDescent="0.25">
      <c r="B133" s="1" t="s">
        <v>125</v>
      </c>
      <c r="D133" s="310">
        <f>+'NOTA 9-CEDULAS CxP PROVEEDORES '!C12</f>
        <v>18750</v>
      </c>
      <c r="E133" s="47">
        <v>25450</v>
      </c>
      <c r="F133" s="47">
        <f t="shared" si="22"/>
        <v>-6700</v>
      </c>
    </row>
    <row r="134" spans="2:6" ht="20.100000000000001" customHeight="1" x14ac:dyDescent="0.25">
      <c r="B134" s="1" t="s">
        <v>126</v>
      </c>
      <c r="D134" s="310">
        <f>+'NOTA 9-CEDULAS CxP PROVEEDORES '!C14</f>
        <v>0</v>
      </c>
      <c r="E134" s="47">
        <v>1648454.37</v>
      </c>
      <c r="F134" s="47">
        <f t="shared" si="22"/>
        <v>-1648454.37</v>
      </c>
    </row>
    <row r="135" spans="2:6" ht="20.100000000000001" customHeight="1" x14ac:dyDescent="0.25">
      <c r="B135" s="1" t="s">
        <v>763</v>
      </c>
      <c r="D135" s="310">
        <f>+'NOTA 9-CEDULAS CxP PROVEEDORES '!C15</f>
        <v>538090</v>
      </c>
      <c r="E135" s="47">
        <v>538090</v>
      </c>
      <c r="F135" s="47">
        <f t="shared" si="22"/>
        <v>0</v>
      </c>
    </row>
    <row r="136" spans="2:6" x14ac:dyDescent="0.25">
      <c r="C136" s="303" t="s">
        <v>72</v>
      </c>
      <c r="D136" s="47"/>
      <c r="E136" s="47"/>
      <c r="F136" s="47"/>
    </row>
    <row r="137" spans="2:6" ht="24" customHeight="1" x14ac:dyDescent="0.25">
      <c r="B137" s="15" t="s">
        <v>127</v>
      </c>
      <c r="C137" s="45"/>
      <c r="D137" s="48">
        <f>SUM(D130:D136)</f>
        <v>2716065.08</v>
      </c>
      <c r="E137" s="48">
        <f>SUM(E130:E136)</f>
        <v>5659674.3900000006</v>
      </c>
      <c r="F137" s="48">
        <f>SUM(F130:F136)</f>
        <v>-2943609.31</v>
      </c>
    </row>
    <row r="138" spans="2:6" ht="20.100000000000001" customHeight="1" x14ac:dyDescent="0.25">
      <c r="D138" s="47"/>
      <c r="E138" s="47"/>
      <c r="F138" s="47"/>
    </row>
    <row r="139" spans="2:6" ht="20.100000000000001" customHeight="1" x14ac:dyDescent="0.25">
      <c r="D139" s="47"/>
      <c r="E139" s="47"/>
      <c r="F139" s="47"/>
    </row>
    <row r="140" spans="2:6" ht="34.5" customHeight="1" x14ac:dyDescent="0.25">
      <c r="B140" s="54" t="s">
        <v>128</v>
      </c>
      <c r="C140" s="45">
        <v>10</v>
      </c>
      <c r="D140" s="1"/>
      <c r="E140" s="1"/>
      <c r="F140" s="1"/>
    </row>
    <row r="141" spans="2:6" ht="36" customHeight="1" x14ac:dyDescent="0.25">
      <c r="B141" s="504" t="s">
        <v>129</v>
      </c>
      <c r="D141" s="47">
        <f>+'NOTA 10-CEDULAS CxP CONTRATISTA'!C10</f>
        <v>0</v>
      </c>
      <c r="E141" s="47">
        <v>0</v>
      </c>
      <c r="F141" s="47">
        <f t="shared" ref="F141:F142" si="23">D141-E141</f>
        <v>0</v>
      </c>
    </row>
    <row r="142" spans="2:6" ht="20.100000000000001" customHeight="1" x14ac:dyDescent="0.25">
      <c r="B142" s="1" t="s">
        <v>130</v>
      </c>
      <c r="D142" s="310">
        <v>0</v>
      </c>
      <c r="E142" s="43">
        <v>0</v>
      </c>
      <c r="F142" s="47">
        <f t="shared" si="23"/>
        <v>0</v>
      </c>
    </row>
    <row r="143" spans="2:6" ht="20.100000000000001" customHeight="1" x14ac:dyDescent="0.25">
      <c r="C143" s="303" t="s">
        <v>72</v>
      </c>
      <c r="D143" s="43"/>
      <c r="E143" s="43"/>
      <c r="F143" s="47"/>
    </row>
    <row r="144" spans="2:6" ht="45" customHeight="1" x14ac:dyDescent="0.25">
      <c r="B144" s="54" t="s">
        <v>131</v>
      </c>
      <c r="C144" s="45" t="s">
        <v>74</v>
      </c>
      <c r="D144" s="48">
        <f>SUM(D141:D143)</f>
        <v>0</v>
      </c>
      <c r="E144" s="48">
        <f t="shared" ref="E144:F144" si="24">SUM(E141:E143)</f>
        <v>0</v>
      </c>
      <c r="F144" s="48">
        <f t="shared" si="24"/>
        <v>0</v>
      </c>
    </row>
    <row r="145" spans="2:6" ht="20.100000000000001" customHeight="1" x14ac:dyDescent="0.25">
      <c r="B145" s="41"/>
      <c r="C145" s="52"/>
      <c r="D145" s="47"/>
      <c r="E145" s="47"/>
      <c r="F145" s="47"/>
    </row>
    <row r="146" spans="2:6" ht="20.100000000000001" customHeight="1" x14ac:dyDescent="0.25">
      <c r="C146" s="17" t="s">
        <v>74</v>
      </c>
    </row>
    <row r="147" spans="2:6" ht="24.75" customHeight="1" x14ac:dyDescent="0.25">
      <c r="B147" s="15" t="s">
        <v>132</v>
      </c>
      <c r="C147" s="45">
        <v>11</v>
      </c>
      <c r="D147" s="1"/>
      <c r="E147" s="1"/>
      <c r="F147" s="1"/>
    </row>
    <row r="148" spans="2:6" ht="20.100000000000001" customHeight="1" x14ac:dyDescent="0.25">
      <c r="B148" s="1" t="s">
        <v>133</v>
      </c>
      <c r="D148" s="264">
        <f>+'NOTA 11-GASTOS PERSONAL X PAGAR'!B9</f>
        <v>576061.04</v>
      </c>
      <c r="E148" s="47">
        <v>449941.75</v>
      </c>
      <c r="F148" s="47">
        <f t="shared" ref="F148:F152" si="25">D148-E148</f>
        <v>126119.29000000004</v>
      </c>
    </row>
    <row r="149" spans="2:6" ht="20.100000000000001" customHeight="1" x14ac:dyDescent="0.25">
      <c r="B149" s="1" t="s">
        <v>134</v>
      </c>
      <c r="C149" s="17" t="s">
        <v>74</v>
      </c>
      <c r="D149" s="62">
        <f>+'NOTA 11-GASTOS PERSONAL X PAGAR'!B10</f>
        <v>13838107.800000001</v>
      </c>
      <c r="E149" s="2">
        <v>9551698.2100000009</v>
      </c>
      <c r="F149" s="47">
        <f t="shared" si="25"/>
        <v>4286409.59</v>
      </c>
    </row>
    <row r="150" spans="2:6" ht="20.100000000000001" customHeight="1" x14ac:dyDescent="0.25">
      <c r="B150" s="1" t="s">
        <v>764</v>
      </c>
      <c r="D150" s="62">
        <v>19279.259999999998</v>
      </c>
      <c r="E150" s="2">
        <v>19279.259999999998</v>
      </c>
      <c r="F150" s="47">
        <f t="shared" si="25"/>
        <v>0</v>
      </c>
    </row>
    <row r="151" spans="2:6" ht="20.100000000000001" customHeight="1" x14ac:dyDescent="0.25">
      <c r="B151" s="1" t="s">
        <v>135</v>
      </c>
      <c r="C151" s="17" t="s">
        <v>74</v>
      </c>
      <c r="D151" s="62">
        <f>+'NOTA 11-GASTOS PERSONAL X PAGAR'!B12</f>
        <v>3521814.09</v>
      </c>
      <c r="E151" s="2">
        <v>3521438.81</v>
      </c>
      <c r="F151" s="47">
        <f t="shared" si="25"/>
        <v>375.27999999979511</v>
      </c>
    </row>
    <row r="152" spans="2:6" ht="20.100000000000001" customHeight="1" x14ac:dyDescent="0.25">
      <c r="B152" s="1" t="s">
        <v>136</v>
      </c>
      <c r="C152" s="17" t="s">
        <v>74</v>
      </c>
      <c r="D152" s="49">
        <f>+'NOTA 11-GASTOS PERSONAL X PAGAR'!B13</f>
        <v>4046547.24</v>
      </c>
      <c r="E152" s="2">
        <v>3234265.57</v>
      </c>
      <c r="F152" s="47">
        <f t="shared" si="25"/>
        <v>812281.67000000039</v>
      </c>
    </row>
    <row r="153" spans="2:6" x14ac:dyDescent="0.25">
      <c r="C153" s="303" t="s">
        <v>72</v>
      </c>
      <c r="D153" s="47"/>
      <c r="E153" s="47"/>
      <c r="F153" s="47"/>
    </row>
    <row r="154" spans="2:6" ht="24" customHeight="1" x14ac:dyDescent="0.25">
      <c r="B154" s="15" t="s">
        <v>137</v>
      </c>
      <c r="C154" s="45" t="s">
        <v>74</v>
      </c>
      <c r="D154" s="48">
        <f>SUM(D148:D152)</f>
        <v>22001809.43</v>
      </c>
      <c r="E154" s="48">
        <f t="shared" ref="E154:F154" si="26">SUM(E148:E152)</f>
        <v>16776623.600000001</v>
      </c>
      <c r="F154" s="48">
        <f t="shared" si="26"/>
        <v>5225185.83</v>
      </c>
    </row>
    <row r="155" spans="2:6" ht="20.100000000000001" customHeight="1" x14ac:dyDescent="0.25">
      <c r="C155" s="17" t="s">
        <v>74</v>
      </c>
      <c r="D155" s="47"/>
      <c r="E155" s="47"/>
      <c r="F155" s="47"/>
    </row>
    <row r="156" spans="2:6" ht="20.100000000000001" customHeight="1" x14ac:dyDescent="0.25">
      <c r="C156" s="17" t="s">
        <v>74</v>
      </c>
      <c r="D156" s="47"/>
      <c r="E156" s="47"/>
      <c r="F156" s="47"/>
    </row>
    <row r="157" spans="2:6" ht="24.75" customHeight="1" x14ac:dyDescent="0.25">
      <c r="B157" s="15" t="s">
        <v>138</v>
      </c>
      <c r="C157" s="45">
        <v>12</v>
      </c>
      <c r="D157" s="1"/>
      <c r="E157" s="1"/>
      <c r="F157" s="1"/>
    </row>
    <row r="158" spans="2:6" ht="20.100000000000001" customHeight="1" x14ac:dyDescent="0.25">
      <c r="B158" s="1" t="s">
        <v>766</v>
      </c>
      <c r="D158" s="310">
        <f>+'NOTA 12-RETENCIONES X PAGAR'!B10</f>
        <v>129981.69</v>
      </c>
      <c r="E158" s="85">
        <v>166161.1</v>
      </c>
      <c r="F158" s="47">
        <f t="shared" ref="F158:F162" si="27">D158-E158</f>
        <v>-36179.410000000003</v>
      </c>
    </row>
    <row r="159" spans="2:6" ht="20.100000000000001" customHeight="1" x14ac:dyDescent="0.25">
      <c r="B159" s="1" t="s">
        <v>765</v>
      </c>
      <c r="C159" s="17" t="s">
        <v>74</v>
      </c>
      <c r="D159" s="310">
        <f>+'NOTA 12-RETENCIONES X PAGAR'!B11</f>
        <v>1637399.29</v>
      </c>
      <c r="E159" s="85">
        <v>3715169.44</v>
      </c>
      <c r="F159" s="47">
        <f t="shared" si="27"/>
        <v>-2077770.15</v>
      </c>
    </row>
    <row r="160" spans="2:6" ht="20.100000000000001" customHeight="1" x14ac:dyDescent="0.25">
      <c r="B160" s="1" t="s">
        <v>139</v>
      </c>
      <c r="D160" s="310">
        <f>+'NOTA 12-RETENCIONES X PAGAR'!B13</f>
        <v>31736.5</v>
      </c>
      <c r="E160" s="47">
        <v>68582.86</v>
      </c>
      <c r="F160" s="47">
        <f t="shared" si="27"/>
        <v>-36846.36</v>
      </c>
    </row>
    <row r="161" spans="2:6" ht="20.100000000000001" customHeight="1" x14ac:dyDescent="0.25">
      <c r="B161" s="1" t="s">
        <v>140</v>
      </c>
      <c r="D161" s="310">
        <f>+'NOTA 12-RETENCIONES X PAGAR'!B14</f>
        <v>1556.76</v>
      </c>
      <c r="E161" s="47">
        <v>640.92999999999995</v>
      </c>
      <c r="F161" s="47">
        <f t="shared" si="27"/>
        <v>915.83</v>
      </c>
    </row>
    <row r="162" spans="2:6" ht="20.100000000000001" customHeight="1" x14ac:dyDescent="0.25">
      <c r="B162" s="1" t="s">
        <v>141</v>
      </c>
      <c r="D162" s="310">
        <f>+'NOTA 12-RETENCIONES X PAGAR'!B15</f>
        <v>15567.61</v>
      </c>
      <c r="E162" s="47">
        <v>6409.27</v>
      </c>
      <c r="F162" s="47">
        <f t="shared" si="27"/>
        <v>9158.34</v>
      </c>
    </row>
    <row r="163" spans="2:6" ht="20.100000000000001" customHeight="1" x14ac:dyDescent="0.25">
      <c r="C163" s="303" t="s">
        <v>72</v>
      </c>
      <c r="D163" s="310"/>
      <c r="E163" s="47"/>
      <c r="F163" s="47"/>
    </row>
    <row r="164" spans="2:6" ht="24" customHeight="1" x14ac:dyDescent="0.25">
      <c r="B164" s="15" t="s">
        <v>142</v>
      </c>
      <c r="C164" s="45" t="s">
        <v>74</v>
      </c>
      <c r="D164" s="48">
        <f>SUM(D158:D162)</f>
        <v>1816241.85</v>
      </c>
      <c r="E164" s="48">
        <f t="shared" ref="E164:F164" si="28">SUM(E158:E162)</f>
        <v>3956963.6</v>
      </c>
      <c r="F164" s="48">
        <f t="shared" si="28"/>
        <v>-2140721.75</v>
      </c>
    </row>
    <row r="165" spans="2:6" ht="20.100000000000001" customHeight="1" x14ac:dyDescent="0.25">
      <c r="D165" s="47"/>
      <c r="E165" s="47"/>
      <c r="F165" s="47"/>
    </row>
    <row r="166" spans="2:6" ht="20.100000000000001" customHeight="1" x14ac:dyDescent="0.25">
      <c r="D166" s="47"/>
      <c r="E166" s="47"/>
      <c r="F166" s="47"/>
    </row>
    <row r="167" spans="2:6" ht="24.75" customHeight="1" x14ac:dyDescent="0.25">
      <c r="B167" s="15" t="s">
        <v>143</v>
      </c>
      <c r="C167" s="45">
        <v>13</v>
      </c>
      <c r="D167" s="1"/>
      <c r="E167" s="1"/>
      <c r="F167" s="1"/>
    </row>
    <row r="168" spans="2:6" ht="20.100000000000001" customHeight="1" x14ac:dyDescent="0.25">
      <c r="B168" s="1" t="s">
        <v>143</v>
      </c>
      <c r="D168" s="47">
        <f>+'NOTA 13-OTRAS CXP'!B12</f>
        <v>94144294.680000007</v>
      </c>
      <c r="E168" s="47">
        <v>105912331.51000001</v>
      </c>
      <c r="F168" s="47">
        <f>D168-E168</f>
        <v>-11768036.829999998</v>
      </c>
    </row>
    <row r="169" spans="2:6" ht="20.100000000000001" customHeight="1" x14ac:dyDescent="0.25">
      <c r="C169" s="303" t="s">
        <v>72</v>
      </c>
      <c r="D169" s="47"/>
      <c r="E169" s="47"/>
      <c r="F169" s="47"/>
    </row>
    <row r="170" spans="2:6" ht="24" customHeight="1" x14ac:dyDescent="0.25">
      <c r="B170" s="15" t="s">
        <v>144</v>
      </c>
      <c r="C170" s="45" t="s">
        <v>74</v>
      </c>
      <c r="D170" s="48">
        <f>SUM(D168:D168)</f>
        <v>94144294.680000007</v>
      </c>
      <c r="E170" s="48">
        <f>SUM(E168:E168)</f>
        <v>105912331.51000001</v>
      </c>
      <c r="F170" s="48">
        <f>SUM(F168:F168)</f>
        <v>-11768036.829999998</v>
      </c>
    </row>
    <row r="171" spans="2:6" ht="20.100000000000001" customHeight="1" x14ac:dyDescent="0.25">
      <c r="C171" s="17" t="s">
        <v>74</v>
      </c>
      <c r="D171" s="1"/>
      <c r="E171" s="1"/>
      <c r="F171" s="1"/>
    </row>
    <row r="172" spans="2:6" ht="20.100000000000001" customHeight="1" x14ac:dyDescent="0.25">
      <c r="C172" s="17" t="s">
        <v>74</v>
      </c>
      <c r="D172" s="47"/>
      <c r="E172" s="47"/>
      <c r="F172" s="47"/>
    </row>
    <row r="173" spans="2:6" ht="20.100000000000001" customHeight="1" x14ac:dyDescent="0.25">
      <c r="C173" s="17" t="s">
        <v>74</v>
      </c>
      <c r="D173" s="1"/>
      <c r="E173" s="1"/>
      <c r="F173" s="1"/>
    </row>
    <row r="174" spans="2:6" x14ac:dyDescent="0.25">
      <c r="C174" s="17" t="s">
        <v>74</v>
      </c>
      <c r="D174" s="47"/>
      <c r="E174" s="47"/>
      <c r="F174" s="47"/>
    </row>
    <row r="175" spans="2:6" x14ac:dyDescent="0.25">
      <c r="D175" s="47"/>
      <c r="E175" s="1"/>
      <c r="F175" s="1"/>
    </row>
    <row r="176" spans="2:6" x14ac:dyDescent="0.25">
      <c r="D176" s="1"/>
      <c r="E176" s="1"/>
      <c r="F176" s="1"/>
    </row>
    <row r="177" spans="4:6" x14ac:dyDescent="0.25">
      <c r="D177" s="1"/>
      <c r="E177" s="1"/>
      <c r="F177" s="1"/>
    </row>
    <row r="178" spans="4:6" x14ac:dyDescent="0.25">
      <c r="D178" s="1"/>
      <c r="E178" s="1"/>
      <c r="F178" s="1"/>
    </row>
    <row r="179" spans="4:6" x14ac:dyDescent="0.25">
      <c r="D179" s="1"/>
      <c r="E179" s="1"/>
      <c r="F179" s="1"/>
    </row>
    <row r="180" spans="4:6" x14ac:dyDescent="0.25">
      <c r="D180" s="1"/>
      <c r="E180" s="1"/>
      <c r="F180" s="1"/>
    </row>
    <row r="181" spans="4:6" x14ac:dyDescent="0.25">
      <c r="D181" s="1"/>
      <c r="E181" s="1"/>
      <c r="F181" s="1"/>
    </row>
    <row r="182" spans="4:6" x14ac:dyDescent="0.25">
      <c r="D182" s="1"/>
      <c r="E182" s="1"/>
      <c r="F182" s="1"/>
    </row>
    <row r="183" spans="4:6" x14ac:dyDescent="0.25">
      <c r="D183" s="1"/>
      <c r="E183" s="1"/>
      <c r="F183" s="1"/>
    </row>
    <row r="184" spans="4:6" x14ac:dyDescent="0.25">
      <c r="D184" s="1"/>
      <c r="E184" s="1"/>
      <c r="F184" s="1"/>
    </row>
    <row r="185" spans="4:6" x14ac:dyDescent="0.25">
      <c r="D185" s="1"/>
      <c r="E185" s="1"/>
      <c r="F185" s="1"/>
    </row>
    <row r="186" spans="4:6" x14ac:dyDescent="0.25">
      <c r="D186" s="1"/>
      <c r="E186" s="1"/>
      <c r="F186" s="1"/>
    </row>
    <row r="187" spans="4:6" x14ac:dyDescent="0.25">
      <c r="D187" s="1"/>
      <c r="E187" s="1"/>
      <c r="F187" s="1"/>
    </row>
    <row r="188" spans="4:6" x14ac:dyDescent="0.25">
      <c r="D188" s="1"/>
      <c r="E188" s="1"/>
      <c r="F188" s="1"/>
    </row>
    <row r="189" spans="4:6" x14ac:dyDescent="0.25">
      <c r="D189" s="1"/>
      <c r="E189" s="1"/>
      <c r="F189" s="1"/>
    </row>
    <row r="190" spans="4:6" x14ac:dyDescent="0.25">
      <c r="D190" s="1"/>
      <c r="E190" s="1"/>
      <c r="F190" s="1"/>
    </row>
    <row r="191" spans="4:6" x14ac:dyDescent="0.25">
      <c r="D191" s="1"/>
      <c r="E191" s="1"/>
      <c r="F191" s="1"/>
    </row>
    <row r="192" spans="4:6" x14ac:dyDescent="0.25">
      <c r="D192" s="1"/>
      <c r="E192" s="1"/>
      <c r="F192" s="1"/>
    </row>
    <row r="193" spans="4:6" x14ac:dyDescent="0.25">
      <c r="D193" s="1"/>
      <c r="E193" s="1"/>
      <c r="F193" s="1"/>
    </row>
    <row r="194" spans="4:6" x14ac:dyDescent="0.25">
      <c r="D194" s="1"/>
      <c r="E194" s="1"/>
      <c r="F194" s="1"/>
    </row>
    <row r="195" spans="4:6" x14ac:dyDescent="0.25">
      <c r="D195" s="1"/>
      <c r="E195" s="1"/>
      <c r="F195" s="1"/>
    </row>
    <row r="196" spans="4:6" x14ac:dyDescent="0.25">
      <c r="D196" s="1"/>
      <c r="E196" s="1"/>
      <c r="F196" s="1"/>
    </row>
    <row r="197" spans="4:6" x14ac:dyDescent="0.25">
      <c r="D197" s="1"/>
      <c r="E197" s="1"/>
      <c r="F197" s="1"/>
    </row>
    <row r="198" spans="4:6" x14ac:dyDescent="0.25">
      <c r="D198" s="1"/>
      <c r="E198" s="1"/>
      <c r="F198" s="1"/>
    </row>
    <row r="199" spans="4:6" x14ac:dyDescent="0.25">
      <c r="D199" s="1"/>
      <c r="E199" s="1"/>
      <c r="F199" s="1"/>
    </row>
    <row r="200" spans="4:6" x14ac:dyDescent="0.25">
      <c r="D200" s="1"/>
      <c r="E200" s="1"/>
      <c r="F200" s="1"/>
    </row>
    <row r="201" spans="4:6" x14ac:dyDescent="0.25">
      <c r="D201" s="1"/>
      <c r="E201" s="1"/>
      <c r="F201" s="1"/>
    </row>
    <row r="202" spans="4:6" x14ac:dyDescent="0.25">
      <c r="D202" s="1"/>
      <c r="E202" s="1"/>
      <c r="F202" s="1"/>
    </row>
    <row r="203" spans="4:6" x14ac:dyDescent="0.25">
      <c r="D203" s="1"/>
      <c r="E203" s="1"/>
      <c r="F203" s="1"/>
    </row>
    <row r="204" spans="4:6" x14ac:dyDescent="0.25">
      <c r="D204" s="1"/>
      <c r="E204" s="1"/>
      <c r="F204" s="1"/>
    </row>
    <row r="205" spans="4:6" x14ac:dyDescent="0.25">
      <c r="D205" s="1"/>
      <c r="E205" s="1"/>
      <c r="F205" s="1"/>
    </row>
    <row r="206" spans="4:6" x14ac:dyDescent="0.25">
      <c r="D206" s="1"/>
      <c r="E206" s="1"/>
      <c r="F206" s="1"/>
    </row>
    <row r="207" spans="4:6" x14ac:dyDescent="0.25">
      <c r="D207" s="1"/>
      <c r="E207" s="1"/>
      <c r="F207" s="1"/>
    </row>
    <row r="208" spans="4:6" x14ac:dyDescent="0.25">
      <c r="D208" s="1"/>
      <c r="E208" s="1"/>
      <c r="F208" s="1"/>
    </row>
    <row r="209" spans="4:6" x14ac:dyDescent="0.25">
      <c r="D209" s="1"/>
      <c r="E209" s="1"/>
      <c r="F209" s="1"/>
    </row>
    <row r="210" spans="4:6" x14ac:dyDescent="0.25">
      <c r="D210" s="1"/>
      <c r="E210" s="1"/>
      <c r="F210" s="1"/>
    </row>
    <row r="211" spans="4:6" x14ac:dyDescent="0.25">
      <c r="D211" s="1"/>
      <c r="E211" s="1"/>
      <c r="F211" s="1"/>
    </row>
    <row r="212" spans="4:6" x14ac:dyDescent="0.25">
      <c r="D212" s="1"/>
      <c r="E212" s="1"/>
      <c r="F212" s="1"/>
    </row>
    <row r="213" spans="4:6" x14ac:dyDescent="0.25">
      <c r="D213" s="1"/>
      <c r="E213" s="1"/>
      <c r="F213" s="1"/>
    </row>
    <row r="214" spans="4:6" x14ac:dyDescent="0.25">
      <c r="D214" s="1"/>
      <c r="E214" s="1"/>
      <c r="F214" s="1"/>
    </row>
    <row r="215" spans="4:6" x14ac:dyDescent="0.25">
      <c r="D215" s="1"/>
      <c r="E215" s="1"/>
      <c r="F215" s="1"/>
    </row>
    <row r="216" spans="4:6" x14ac:dyDescent="0.25">
      <c r="D216" s="1"/>
      <c r="E216" s="1"/>
      <c r="F216" s="1"/>
    </row>
    <row r="217" spans="4:6" x14ac:dyDescent="0.25">
      <c r="D217" s="1"/>
      <c r="E217" s="1"/>
      <c r="F217" s="1"/>
    </row>
    <row r="218" spans="4:6" x14ac:dyDescent="0.25">
      <c r="D218" s="1"/>
      <c r="E218" s="1"/>
      <c r="F218" s="1"/>
    </row>
    <row r="219" spans="4:6" x14ac:dyDescent="0.25">
      <c r="D219" s="1"/>
      <c r="E219" s="1"/>
      <c r="F219" s="1"/>
    </row>
    <row r="220" spans="4:6" x14ac:dyDescent="0.25">
      <c r="D220" s="1"/>
      <c r="E220" s="1"/>
      <c r="F220" s="1"/>
    </row>
    <row r="221" spans="4:6" x14ac:dyDescent="0.25">
      <c r="D221" s="1"/>
      <c r="E221" s="1"/>
      <c r="F221" s="1"/>
    </row>
    <row r="222" spans="4:6" x14ac:dyDescent="0.25">
      <c r="D222" s="1"/>
      <c r="E222" s="1"/>
      <c r="F222" s="1"/>
    </row>
    <row r="223" spans="4:6" x14ac:dyDescent="0.25">
      <c r="D223" s="1"/>
      <c r="E223" s="1"/>
      <c r="F223" s="1"/>
    </row>
    <row r="224" spans="4:6" x14ac:dyDescent="0.25">
      <c r="D224" s="1"/>
      <c r="E224" s="1"/>
      <c r="F224" s="1"/>
    </row>
    <row r="225" spans="4:6" x14ac:dyDescent="0.25">
      <c r="D225" s="1"/>
      <c r="E225" s="1"/>
      <c r="F225" s="1"/>
    </row>
    <row r="226" spans="4:6" x14ac:dyDescent="0.25">
      <c r="D226" s="1"/>
      <c r="E226" s="1"/>
      <c r="F226" s="1"/>
    </row>
    <row r="227" spans="4:6" x14ac:dyDescent="0.25">
      <c r="D227" s="1"/>
      <c r="E227" s="1"/>
      <c r="F227" s="1"/>
    </row>
    <row r="228" spans="4:6" x14ac:dyDescent="0.25">
      <c r="D228" s="1"/>
      <c r="E228" s="1"/>
      <c r="F228" s="1"/>
    </row>
    <row r="229" spans="4:6" x14ac:dyDescent="0.25">
      <c r="D229" s="1"/>
      <c r="E229" s="1"/>
      <c r="F229" s="1"/>
    </row>
    <row r="230" spans="4:6" x14ac:dyDescent="0.25">
      <c r="D230" s="1"/>
      <c r="E230" s="1"/>
      <c r="F230" s="1"/>
    </row>
    <row r="231" spans="4:6" x14ac:dyDescent="0.25">
      <c r="D231" s="1"/>
      <c r="E231" s="1"/>
      <c r="F231" s="1"/>
    </row>
    <row r="232" spans="4:6" x14ac:dyDescent="0.25">
      <c r="D232" s="1"/>
      <c r="E232" s="1"/>
      <c r="F232" s="1"/>
    </row>
    <row r="233" spans="4:6" x14ac:dyDescent="0.25">
      <c r="D233" s="1"/>
      <c r="E233" s="1"/>
      <c r="F233" s="1"/>
    </row>
    <row r="234" spans="4:6" x14ac:dyDescent="0.25">
      <c r="D234" s="1"/>
      <c r="E234" s="1"/>
      <c r="F234" s="1"/>
    </row>
    <row r="235" spans="4:6" x14ac:dyDescent="0.25">
      <c r="D235" s="1"/>
      <c r="E235" s="1"/>
      <c r="F235" s="1"/>
    </row>
    <row r="236" spans="4:6" x14ac:dyDescent="0.25">
      <c r="D236" s="1"/>
      <c r="E236" s="1"/>
      <c r="F236" s="1"/>
    </row>
    <row r="237" spans="4:6" x14ac:dyDescent="0.25">
      <c r="D237" s="1"/>
      <c r="E237" s="1"/>
      <c r="F237" s="1"/>
    </row>
    <row r="238" spans="4:6" x14ac:dyDescent="0.25">
      <c r="D238" s="1"/>
      <c r="E238" s="1"/>
      <c r="F238" s="1"/>
    </row>
    <row r="239" spans="4:6" x14ac:dyDescent="0.25">
      <c r="D239" s="1"/>
      <c r="E239" s="1"/>
      <c r="F239" s="1"/>
    </row>
    <row r="240" spans="4:6" x14ac:dyDescent="0.25">
      <c r="D240" s="1"/>
      <c r="E240" s="1"/>
      <c r="F240" s="1"/>
    </row>
    <row r="241" spans="4:6" x14ac:dyDescent="0.25">
      <c r="D241" s="1"/>
      <c r="E241" s="1"/>
      <c r="F241" s="1"/>
    </row>
    <row r="242" spans="4:6" x14ac:dyDescent="0.25">
      <c r="D242" s="1"/>
      <c r="E242" s="1"/>
      <c r="F242" s="1"/>
    </row>
    <row r="243" spans="4:6" x14ac:dyDescent="0.25">
      <c r="D243" s="1"/>
      <c r="E243" s="1"/>
      <c r="F243" s="1"/>
    </row>
    <row r="244" spans="4:6" x14ac:dyDescent="0.25">
      <c r="D244" s="1"/>
      <c r="E244" s="1"/>
      <c r="F244" s="1"/>
    </row>
    <row r="245" spans="4:6" x14ac:dyDescent="0.25">
      <c r="D245" s="1"/>
      <c r="E245" s="1"/>
      <c r="F245" s="1"/>
    </row>
    <row r="246" spans="4:6" x14ac:dyDescent="0.25">
      <c r="D246" s="1"/>
      <c r="E246" s="1"/>
      <c r="F246" s="1"/>
    </row>
    <row r="247" spans="4:6" x14ac:dyDescent="0.25">
      <c r="D247" s="1"/>
      <c r="E247" s="1"/>
      <c r="F247" s="1"/>
    </row>
    <row r="248" spans="4:6" x14ac:dyDescent="0.25">
      <c r="D248" s="1"/>
      <c r="E248" s="1"/>
      <c r="F248" s="1"/>
    </row>
    <row r="249" spans="4:6" x14ac:dyDescent="0.25">
      <c r="D249" s="1"/>
      <c r="E249" s="1"/>
      <c r="F249" s="1"/>
    </row>
    <row r="250" spans="4:6" x14ac:dyDescent="0.25">
      <c r="D250" s="1"/>
      <c r="E250" s="1"/>
      <c r="F250" s="1"/>
    </row>
    <row r="251" spans="4:6" x14ac:dyDescent="0.25">
      <c r="D251" s="1"/>
      <c r="E251" s="1"/>
      <c r="F251" s="1"/>
    </row>
    <row r="252" spans="4:6" x14ac:dyDescent="0.25">
      <c r="D252" s="1"/>
      <c r="E252" s="1"/>
      <c r="F252" s="1"/>
    </row>
    <row r="253" spans="4:6" x14ac:dyDescent="0.25">
      <c r="D253" s="1"/>
      <c r="E253" s="1"/>
      <c r="F253" s="1"/>
    </row>
    <row r="254" spans="4:6" x14ac:dyDescent="0.25">
      <c r="D254" s="1"/>
      <c r="E254" s="1"/>
      <c r="F254" s="1"/>
    </row>
    <row r="255" spans="4:6" x14ac:dyDescent="0.25">
      <c r="D255" s="1"/>
      <c r="E255" s="1"/>
      <c r="F255" s="1"/>
    </row>
    <row r="256" spans="4:6" x14ac:dyDescent="0.25">
      <c r="D256" s="1"/>
      <c r="E256" s="1"/>
      <c r="F256" s="1"/>
    </row>
    <row r="257" spans="4:6" x14ac:dyDescent="0.25">
      <c r="D257" s="1"/>
      <c r="E257" s="1"/>
      <c r="F257" s="1"/>
    </row>
    <row r="258" spans="4:6" x14ac:dyDescent="0.25">
      <c r="D258" s="1"/>
      <c r="E258" s="1"/>
      <c r="F258" s="1"/>
    </row>
    <row r="259" spans="4:6" x14ac:dyDescent="0.25">
      <c r="D259" s="1"/>
      <c r="E259" s="1"/>
      <c r="F259" s="1"/>
    </row>
    <row r="260" spans="4:6" x14ac:dyDescent="0.25">
      <c r="D260" s="1"/>
      <c r="E260" s="1"/>
      <c r="F260" s="1"/>
    </row>
    <row r="261" spans="4:6" x14ac:dyDescent="0.25">
      <c r="D261" s="1"/>
      <c r="E261" s="1"/>
      <c r="F261" s="1"/>
    </row>
    <row r="262" spans="4:6" x14ac:dyDescent="0.25">
      <c r="D262" s="1"/>
      <c r="E262" s="1"/>
      <c r="F262" s="1"/>
    </row>
    <row r="263" spans="4:6" x14ac:dyDescent="0.25">
      <c r="D263" s="1"/>
      <c r="E263" s="1"/>
      <c r="F263" s="1"/>
    </row>
    <row r="264" spans="4:6" x14ac:dyDescent="0.25">
      <c r="D264" s="1"/>
      <c r="E264" s="1"/>
      <c r="F264" s="1"/>
    </row>
    <row r="265" spans="4:6" x14ac:dyDescent="0.25">
      <c r="D265" s="1"/>
      <c r="E265" s="1"/>
      <c r="F265" s="1"/>
    </row>
    <row r="266" spans="4:6" x14ac:dyDescent="0.25">
      <c r="D266" s="1"/>
      <c r="E266" s="1"/>
      <c r="F266" s="1"/>
    </row>
    <row r="267" spans="4:6" x14ac:dyDescent="0.25">
      <c r="D267" s="1"/>
      <c r="E267" s="1"/>
      <c r="F267" s="1"/>
    </row>
    <row r="268" spans="4:6" x14ac:dyDescent="0.25">
      <c r="D268" s="1"/>
      <c r="E268" s="1"/>
      <c r="F268" s="1"/>
    </row>
    <row r="269" spans="4:6" x14ac:dyDescent="0.25">
      <c r="D269" s="1"/>
      <c r="E269" s="1"/>
      <c r="F269" s="1"/>
    </row>
    <row r="270" spans="4:6" x14ac:dyDescent="0.25">
      <c r="D270" s="1"/>
      <c r="E270" s="1"/>
      <c r="F270" s="1"/>
    </row>
    <row r="271" spans="4:6" x14ac:dyDescent="0.25">
      <c r="D271" s="1"/>
      <c r="E271" s="1"/>
      <c r="F271" s="1"/>
    </row>
    <row r="272" spans="4:6" x14ac:dyDescent="0.25">
      <c r="D272" s="1"/>
      <c r="E272" s="1"/>
      <c r="F272" s="1"/>
    </row>
    <row r="273" spans="4:6" x14ac:dyDescent="0.25">
      <c r="D273" s="1"/>
      <c r="E273" s="1"/>
      <c r="F273" s="1"/>
    </row>
    <row r="274" spans="4:6" x14ac:dyDescent="0.25">
      <c r="D274" s="1"/>
      <c r="E274" s="1"/>
      <c r="F274" s="1"/>
    </row>
    <row r="275" spans="4:6" x14ac:dyDescent="0.25">
      <c r="D275" s="1"/>
      <c r="E275" s="1"/>
      <c r="F275" s="1"/>
    </row>
    <row r="276" spans="4:6" x14ac:dyDescent="0.25">
      <c r="D276" s="1"/>
      <c r="E276" s="1"/>
      <c r="F276" s="1"/>
    </row>
  </sheetData>
  <pageMargins left="0.35433070866141736" right="0.23622047244094491" top="0.47244094488188981" bottom="0.59055118110236227" header="0.15748031496062992" footer="0.31496062992125984"/>
  <pageSetup scale="55" orientation="portrait" r:id="rId1"/>
  <headerFooter>
    <oddFooter>Page &amp;P of &amp;N</oddFooter>
  </headerFooter>
  <rowBreaks count="1" manualBreakCount="1">
    <brk id="6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6:K166"/>
  <sheetViews>
    <sheetView view="pageBreakPreview" topLeftCell="A8" zoomScale="80" zoomScaleNormal="80" zoomScaleSheetLayoutView="80" workbookViewId="0">
      <selection activeCell="D21" sqref="D21"/>
    </sheetView>
  </sheetViews>
  <sheetFormatPr baseColWidth="10" defaultColWidth="11.5703125" defaultRowHeight="15.75" x14ac:dyDescent="0.2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18.140625" style="1" customWidth="1"/>
    <col min="10" max="10" width="11.5703125" style="1"/>
    <col min="11" max="11" width="16.28515625" style="1" bestFit="1" customWidth="1"/>
    <col min="12" max="16384" width="11.5703125" style="1"/>
  </cols>
  <sheetData>
    <row r="6" spans="2:9" s="7" customFormat="1" ht="24.75" customHeight="1" x14ac:dyDescent="0.3">
      <c r="B6" s="44" t="str">
        <f>+'A-SITUACION ANEXOS'!B6</f>
        <v xml:space="preserve">ANEXOS DE ESTADO DE SITUACIÓN </v>
      </c>
      <c r="F6" s="1"/>
      <c r="G6" s="1"/>
      <c r="H6" s="1"/>
    </row>
    <row r="7" spans="2:9" s="7" customFormat="1" ht="24.75" customHeight="1" x14ac:dyDescent="0.3">
      <c r="B7" s="44" t="s">
        <v>883</v>
      </c>
      <c r="F7" s="1"/>
      <c r="G7" s="1"/>
      <c r="H7" s="1"/>
    </row>
    <row r="8" spans="2:9" s="7" customFormat="1" ht="24.75" customHeight="1" x14ac:dyDescent="0.3">
      <c r="B8" s="44" t="str">
        <f>+'A-SITUACION ANEXOS'!B8</f>
        <v>VALORES EXPRESADOS EN RD$</v>
      </c>
      <c r="F8" s="1"/>
      <c r="G8" s="1"/>
      <c r="H8" s="1"/>
    </row>
    <row r="9" spans="2:9" s="7" customFormat="1" ht="24.75" customHeight="1" x14ac:dyDescent="0.3">
      <c r="F9" s="1"/>
      <c r="G9" s="1"/>
      <c r="H9" s="1"/>
    </row>
    <row r="10" spans="2:9" s="7" customFormat="1" ht="24.75" customHeight="1" x14ac:dyDescent="0.3">
      <c r="C10" s="13" t="s">
        <v>252</v>
      </c>
      <c r="D10" s="4">
        <v>14</v>
      </c>
      <c r="F10" s="1"/>
      <c r="G10" s="1"/>
      <c r="H10" s="1"/>
    </row>
    <row r="11" spans="2:9" s="7" customFormat="1" ht="24.75" customHeight="1" x14ac:dyDescent="0.3">
      <c r="E11" s="34"/>
      <c r="F11" s="1"/>
      <c r="G11" s="1"/>
      <c r="H11" s="18"/>
    </row>
    <row r="12" spans="2:9" s="7" customFormat="1" ht="24.75" customHeight="1" x14ac:dyDescent="0.3">
      <c r="B12" s="44" t="s">
        <v>253</v>
      </c>
    </row>
    <row r="13" spans="2:9" s="7" customFormat="1" ht="24.75" customHeight="1" thickBot="1" x14ac:dyDescent="0.35">
      <c r="B13" s="44"/>
    </row>
    <row r="14" spans="2:9" s="7" customFormat="1" ht="24.75" customHeight="1" thickBot="1" x14ac:dyDescent="0.35">
      <c r="D14" s="317" t="s">
        <v>254</v>
      </c>
      <c r="E14" s="630" t="s">
        <v>884</v>
      </c>
      <c r="F14" s="631"/>
      <c r="G14" s="630" t="s">
        <v>866</v>
      </c>
      <c r="H14" s="631"/>
    </row>
    <row r="15" spans="2:9" ht="24.75" customHeight="1" x14ac:dyDescent="0.25">
      <c r="D15" s="318" t="s">
        <v>255</v>
      </c>
      <c r="E15" s="321" t="s">
        <v>256</v>
      </c>
      <c r="F15" s="312" t="s">
        <v>257</v>
      </c>
      <c r="G15" s="316" t="s">
        <v>256</v>
      </c>
      <c r="H15" s="312" t="s">
        <v>257</v>
      </c>
    </row>
    <row r="16" spans="2:9" ht="24.75" customHeight="1" x14ac:dyDescent="0.25">
      <c r="B16" s="55" t="s">
        <v>258</v>
      </c>
      <c r="D16" s="318" t="s">
        <v>259</v>
      </c>
      <c r="E16" s="318" t="s">
        <v>260</v>
      </c>
      <c r="F16" s="312" t="s">
        <v>261</v>
      </c>
      <c r="G16" s="45" t="s">
        <v>260</v>
      </c>
      <c r="H16" s="312" t="s">
        <v>261</v>
      </c>
      <c r="I16" s="20"/>
    </row>
    <row r="17" spans="2:11" ht="24.75" customHeight="1" x14ac:dyDescent="0.25">
      <c r="D17" s="223"/>
      <c r="E17" s="223"/>
      <c r="F17" s="322"/>
      <c r="H17" s="313"/>
    </row>
    <row r="18" spans="2:11" ht="24.75" customHeight="1" x14ac:dyDescent="0.25">
      <c r="B18" s="1" t="s">
        <v>109</v>
      </c>
      <c r="D18" s="319">
        <v>99.500102455000004</v>
      </c>
      <c r="E18" s="323">
        <f>F18/100</f>
        <v>6953497</v>
      </c>
      <c r="F18" s="313">
        <v>695349700</v>
      </c>
      <c r="G18" s="56">
        <v>6953497</v>
      </c>
      <c r="H18" s="313">
        <v>695349700</v>
      </c>
    </row>
    <row r="19" spans="2:11" ht="24.75" customHeight="1" x14ac:dyDescent="0.25">
      <c r="B19" s="1" t="s">
        <v>262</v>
      </c>
      <c r="D19" s="319">
        <v>49.9739570395</v>
      </c>
      <c r="E19" s="323">
        <f>F19/100</f>
        <v>28163101</v>
      </c>
      <c r="F19" s="322">
        <v>2816310100</v>
      </c>
      <c r="G19" s="56">
        <v>28163101</v>
      </c>
      <c r="H19" s="313">
        <v>2816310100</v>
      </c>
    </row>
    <row r="20" spans="2:11" ht="24.75" customHeight="1" x14ac:dyDescent="0.25">
      <c r="B20" s="1" t="s">
        <v>263</v>
      </c>
      <c r="D20" s="319">
        <v>49.590354330700002</v>
      </c>
      <c r="E20" s="323">
        <f>F20/100</f>
        <v>2519190</v>
      </c>
      <c r="F20" s="322">
        <f>251919000+0</f>
        <v>251919000</v>
      </c>
      <c r="G20" s="56">
        <v>2519190</v>
      </c>
      <c r="H20" s="313">
        <v>251919000</v>
      </c>
    </row>
    <row r="21" spans="2:11" ht="24.75" customHeight="1" x14ac:dyDescent="0.25">
      <c r="B21" s="1" t="s">
        <v>264</v>
      </c>
      <c r="D21" s="319">
        <v>49.993471306399996</v>
      </c>
      <c r="E21" s="323">
        <f>2297250000/100</f>
        <v>22972500</v>
      </c>
      <c r="F21" s="322">
        <v>2297250000</v>
      </c>
      <c r="G21" s="56">
        <v>22972500</v>
      </c>
      <c r="H21" s="322">
        <v>2297250000</v>
      </c>
    </row>
    <row r="22" spans="2:11" ht="24.75" customHeight="1" x14ac:dyDescent="0.25">
      <c r="B22" s="1" t="s">
        <v>110</v>
      </c>
      <c r="D22" s="319">
        <v>99.979305835000005</v>
      </c>
      <c r="E22" s="323">
        <f>F22/100</f>
        <v>32403395</v>
      </c>
      <c r="F22" s="322">
        <v>3240339500</v>
      </c>
      <c r="G22" s="56">
        <v>32403395</v>
      </c>
      <c r="H22" s="313">
        <v>3240339500</v>
      </c>
    </row>
    <row r="23" spans="2:11" ht="24.75" customHeight="1" x14ac:dyDescent="0.25">
      <c r="B23" s="1" t="s">
        <v>265</v>
      </c>
      <c r="D23" s="319">
        <v>99.960759730299998</v>
      </c>
      <c r="E23" s="323">
        <f>F23/100</f>
        <v>34750978</v>
      </c>
      <c r="F23" s="322">
        <v>3475097800</v>
      </c>
      <c r="G23" s="56">
        <v>34750978</v>
      </c>
      <c r="H23" s="313">
        <v>3475097800</v>
      </c>
    </row>
    <row r="24" spans="2:11" ht="24.75" customHeight="1" x14ac:dyDescent="0.25">
      <c r="B24" s="1" t="s">
        <v>111</v>
      </c>
      <c r="D24" s="319">
        <v>99.9381695318</v>
      </c>
      <c r="E24" s="323">
        <f>F24/100</f>
        <v>34628160</v>
      </c>
      <c r="F24" s="322">
        <v>3462816000</v>
      </c>
      <c r="G24" s="56">
        <v>34628160</v>
      </c>
      <c r="H24" s="313">
        <v>3462816000</v>
      </c>
      <c r="K24" s="2"/>
    </row>
    <row r="25" spans="2:11" ht="44.25" customHeight="1" x14ac:dyDescent="0.25">
      <c r="B25" s="504" t="s">
        <v>769</v>
      </c>
      <c r="D25" s="319">
        <v>0.1</v>
      </c>
      <c r="E25" s="323">
        <v>1</v>
      </c>
      <c r="F25" s="322">
        <v>134998789</v>
      </c>
      <c r="G25" s="56">
        <v>0</v>
      </c>
      <c r="H25" s="313">
        <v>134998789</v>
      </c>
      <c r="K25" s="2"/>
    </row>
    <row r="26" spans="2:11" ht="42.75" customHeight="1" x14ac:dyDescent="0.25">
      <c r="B26" s="513" t="s">
        <v>770</v>
      </c>
      <c r="D26" s="319">
        <v>0.1</v>
      </c>
      <c r="E26" s="323">
        <v>1</v>
      </c>
      <c r="F26" s="322">
        <v>30000</v>
      </c>
      <c r="G26" s="56">
        <v>0</v>
      </c>
      <c r="H26" s="313">
        <v>30000</v>
      </c>
      <c r="K26" s="2"/>
    </row>
    <row r="27" spans="2:11" ht="50.25" thickBot="1" x14ac:dyDescent="0.45">
      <c r="B27" s="54" t="s">
        <v>266</v>
      </c>
      <c r="D27" s="320"/>
      <c r="E27" s="320"/>
      <c r="F27" s="315">
        <f>SUM(F18:F26)</f>
        <v>16374110889</v>
      </c>
      <c r="G27" s="314"/>
      <c r="H27" s="315">
        <f>SUM(H18:H26)</f>
        <v>16374110889</v>
      </c>
    </row>
    <row r="28" spans="2:11" ht="24.75" customHeight="1" x14ac:dyDescent="0.25"/>
    <row r="29" spans="2:11" ht="24.75" customHeight="1" x14ac:dyDescent="0.25">
      <c r="F29" s="18"/>
    </row>
    <row r="31" spans="2:11" x14ac:dyDescent="0.25">
      <c r="F31" s="18"/>
    </row>
    <row r="159" spans="9:9" x14ac:dyDescent="0.25">
      <c r="I159" s="60"/>
    </row>
    <row r="160" spans="9:9" x14ac:dyDescent="0.25">
      <c r="I160" s="60"/>
    </row>
    <row r="161" spans="9:9" x14ac:dyDescent="0.25">
      <c r="I161" s="60"/>
    </row>
    <row r="162" spans="9:9" x14ac:dyDescent="0.25">
      <c r="I162" s="60"/>
    </row>
    <row r="163" spans="9:9" x14ac:dyDescent="0.25">
      <c r="I163" s="60"/>
    </row>
    <row r="164" spans="9:9" x14ac:dyDescent="0.25">
      <c r="I164" s="60"/>
    </row>
    <row r="165" spans="9:9" x14ac:dyDescent="0.25">
      <c r="I165" s="60"/>
    </row>
    <row r="166" spans="9:9" x14ac:dyDescent="0.25">
      <c r="I166" s="60"/>
    </row>
  </sheetData>
  <mergeCells count="2">
    <mergeCell ref="E14:F14"/>
    <mergeCell ref="G14:H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N208"/>
  <sheetViews>
    <sheetView view="pageBreakPreview" topLeftCell="A30" zoomScale="80" zoomScaleNormal="100" zoomScaleSheetLayoutView="80" workbookViewId="0">
      <selection activeCell="D35" sqref="D35"/>
    </sheetView>
  </sheetViews>
  <sheetFormatPr baseColWidth="10" defaultColWidth="11.5703125" defaultRowHeight="15.75" x14ac:dyDescent="0.25"/>
  <cols>
    <col min="1" max="1" width="4.5703125" style="1" customWidth="1"/>
    <col min="2" max="2" width="74.140625" style="1" customWidth="1"/>
    <col min="3" max="3" width="14.28515625" style="17" customWidth="1"/>
    <col min="4" max="5" width="23.42578125" style="47" bestFit="1" customWidth="1"/>
    <col min="6" max="6" width="25.85546875" style="47" customWidth="1"/>
    <col min="7" max="7" width="2.5703125" style="1" customWidth="1"/>
    <col min="8" max="8" width="28.42578125" style="1" customWidth="1"/>
    <col min="9" max="9" width="15.85546875" style="1" bestFit="1" customWidth="1"/>
    <col min="10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5"/>
    <row r="4" spans="2:6" s="7" customFormat="1" ht="24.75" customHeight="1" x14ac:dyDescent="0.3">
      <c r="B4" s="44" t="s">
        <v>145</v>
      </c>
      <c r="C4" s="516"/>
      <c r="D4" s="5"/>
      <c r="E4" s="5"/>
      <c r="F4" s="5"/>
    </row>
    <row r="5" spans="2:6" s="7" customFormat="1" ht="24.75" customHeight="1" x14ac:dyDescent="0.3">
      <c r="B5" s="44" t="s">
        <v>883</v>
      </c>
      <c r="C5" s="516"/>
      <c r="D5" s="5"/>
      <c r="E5" s="5"/>
      <c r="F5" s="5"/>
    </row>
    <row r="6" spans="2:6" s="7" customFormat="1" ht="24.75" customHeight="1" x14ac:dyDescent="0.3">
      <c r="B6" s="44" t="s">
        <v>64</v>
      </c>
      <c r="C6" s="516"/>
      <c r="D6" s="5"/>
      <c r="E6" s="5"/>
      <c r="F6" s="5"/>
    </row>
    <row r="7" spans="2:6" s="7" customFormat="1" ht="18.75" x14ac:dyDescent="0.3">
      <c r="C7" s="516"/>
      <c r="D7" s="5"/>
      <c r="E7" s="5"/>
      <c r="F7" s="5"/>
    </row>
    <row r="8" spans="2:6" s="7" customFormat="1" ht="37.5" customHeight="1" x14ac:dyDescent="0.3">
      <c r="C8" s="324" t="s">
        <v>4</v>
      </c>
      <c r="D8" s="324" t="s">
        <v>146</v>
      </c>
      <c r="E8" s="324" t="s">
        <v>147</v>
      </c>
      <c r="F8" s="324" t="s">
        <v>7</v>
      </c>
    </row>
    <row r="9" spans="2:6" x14ac:dyDescent="0.25">
      <c r="C9" s="517"/>
      <c r="D9" s="43"/>
      <c r="E9" s="43"/>
      <c r="F9" s="43"/>
    </row>
    <row r="10" spans="2:6" ht="20.100000000000001" customHeight="1" x14ac:dyDescent="0.25">
      <c r="C10" s="517" t="s">
        <v>74</v>
      </c>
      <c r="D10" s="43"/>
      <c r="E10" s="43"/>
      <c r="F10" s="43"/>
    </row>
    <row r="11" spans="2:6" s="520" customFormat="1" ht="24.75" customHeight="1" x14ac:dyDescent="0.2">
      <c r="B11" s="518" t="s">
        <v>148</v>
      </c>
      <c r="C11" s="519">
        <v>15</v>
      </c>
      <c r="D11" s="381"/>
      <c r="E11" s="382"/>
      <c r="F11" s="382"/>
    </row>
    <row r="12" spans="2:6" ht="20.100000000000001" customHeight="1" x14ac:dyDescent="0.25">
      <c r="B12" s="1" t="s">
        <v>149</v>
      </c>
      <c r="C12" s="517"/>
      <c r="D12" s="47">
        <v>0</v>
      </c>
      <c r="E12" s="43">
        <v>0</v>
      </c>
      <c r="F12" s="43">
        <f>D12-E12</f>
        <v>0</v>
      </c>
    </row>
    <row r="13" spans="2:6" ht="20.100000000000001" customHeight="1" x14ac:dyDescent="0.25">
      <c r="B13" s="461" t="s">
        <v>150</v>
      </c>
      <c r="C13" s="517"/>
      <c r="D13" s="47">
        <v>0</v>
      </c>
      <c r="E13" s="43">
        <v>0</v>
      </c>
      <c r="F13" s="43">
        <f>D13-E13</f>
        <v>0</v>
      </c>
    </row>
    <row r="14" spans="2:6" ht="20.100000000000001" customHeight="1" x14ac:dyDescent="0.25">
      <c r="B14" s="461" t="s">
        <v>151</v>
      </c>
      <c r="C14" s="517"/>
      <c r="D14" s="47">
        <v>0</v>
      </c>
      <c r="E14" s="43">
        <v>0</v>
      </c>
      <c r="F14" s="43">
        <f>D14-E14</f>
        <v>0</v>
      </c>
    </row>
    <row r="15" spans="2:6" ht="20.100000000000001" customHeight="1" x14ac:dyDescent="0.25">
      <c r="B15" s="461" t="s">
        <v>767</v>
      </c>
      <c r="C15" s="517"/>
      <c r="D15" s="47">
        <v>1709914.86</v>
      </c>
      <c r="E15" s="43">
        <v>1709914.86</v>
      </c>
      <c r="F15" s="43">
        <f>D15-E15</f>
        <v>0</v>
      </c>
    </row>
    <row r="16" spans="2:6" ht="15.75" customHeight="1" x14ac:dyDescent="0.25">
      <c r="C16" s="303" t="s">
        <v>152</v>
      </c>
      <c r="E16" s="43"/>
      <c r="F16" s="43"/>
    </row>
    <row r="17" spans="2:8" s="520" customFormat="1" ht="41.25" customHeight="1" x14ac:dyDescent="0.2">
      <c r="B17" s="521" t="s">
        <v>153</v>
      </c>
      <c r="C17" s="519"/>
      <c r="D17" s="383">
        <f>SUM(D12:D16)</f>
        <v>1709914.86</v>
      </c>
      <c r="E17" s="383">
        <f>SUM(E12:E16)</f>
        <v>1709914.86</v>
      </c>
      <c r="F17" s="384">
        <f>SUM(F12:F16)</f>
        <v>0</v>
      </c>
    </row>
    <row r="18" spans="2:8" ht="20.100000000000001" customHeight="1" x14ac:dyDescent="0.25">
      <c r="C18" s="517" t="s">
        <v>74</v>
      </c>
      <c r="E18" s="43"/>
      <c r="F18" s="43"/>
    </row>
    <row r="19" spans="2:8" ht="20.100000000000001" customHeight="1" x14ac:dyDescent="0.25">
      <c r="C19" s="517" t="s">
        <v>74</v>
      </c>
      <c r="D19" s="514"/>
      <c r="E19" s="43"/>
      <c r="F19" s="43"/>
    </row>
    <row r="20" spans="2:8" s="520" customFormat="1" ht="24.75" customHeight="1" x14ac:dyDescent="0.2">
      <c r="B20" s="518" t="s">
        <v>154</v>
      </c>
      <c r="C20" s="519">
        <v>16</v>
      </c>
      <c r="D20" s="381"/>
      <c r="E20" s="382"/>
      <c r="F20" s="382"/>
    </row>
    <row r="21" spans="2:8" ht="20.100000000000001" customHeight="1" x14ac:dyDescent="0.25">
      <c r="B21" s="1" t="s">
        <v>155</v>
      </c>
      <c r="C21" s="517"/>
      <c r="D21" s="47">
        <v>64908843.149999999</v>
      </c>
      <c r="E21" s="47">
        <v>54993707.700000003</v>
      </c>
      <c r="F21" s="43">
        <f>D21-E21</f>
        <v>9915135.4499999955</v>
      </c>
      <c r="H21" s="18"/>
    </row>
    <row r="22" spans="2:8" ht="20.100000000000001" customHeight="1" x14ac:dyDescent="0.25">
      <c r="C22" s="303" t="s">
        <v>152</v>
      </c>
      <c r="E22" s="43"/>
      <c r="F22" s="43"/>
    </row>
    <row r="23" spans="2:8" s="518" customFormat="1" ht="24.75" customHeight="1" x14ac:dyDescent="0.2">
      <c r="B23" s="518" t="s">
        <v>156</v>
      </c>
      <c r="C23" s="519"/>
      <c r="D23" s="383">
        <f>SUM(D21:D21)</f>
        <v>64908843.149999999</v>
      </c>
      <c r="E23" s="383">
        <f>SUM(E21:E21)</f>
        <v>54993707.700000003</v>
      </c>
      <c r="F23" s="384">
        <f>SUM(F21:F21)</f>
        <v>9915135.4499999955</v>
      </c>
    </row>
    <row r="24" spans="2:8" ht="20.100000000000001" customHeight="1" x14ac:dyDescent="0.25">
      <c r="C24" s="517" t="s">
        <v>74</v>
      </c>
      <c r="E24" s="43"/>
      <c r="F24" s="43"/>
    </row>
    <row r="25" spans="2:8" ht="20.100000000000001" customHeight="1" x14ac:dyDescent="0.25">
      <c r="C25" s="517" t="s">
        <v>74</v>
      </c>
      <c r="E25" s="43"/>
      <c r="F25" s="43"/>
    </row>
    <row r="26" spans="2:8" s="520" customFormat="1" ht="24.75" customHeight="1" x14ac:dyDescent="0.2">
      <c r="B26" s="518" t="s">
        <v>157</v>
      </c>
      <c r="C26" s="519">
        <v>17</v>
      </c>
      <c r="D26" s="381"/>
      <c r="E26" s="382"/>
      <c r="F26" s="382"/>
    </row>
    <row r="27" spans="2:8" ht="20.100000000000001" customHeight="1" x14ac:dyDescent="0.25">
      <c r="B27" s="1" t="s">
        <v>158</v>
      </c>
      <c r="C27" s="517" t="s">
        <v>74</v>
      </c>
      <c r="D27" s="47">
        <v>1118801.23</v>
      </c>
      <c r="E27" s="47">
        <v>905015.59</v>
      </c>
      <c r="F27" s="43">
        <f>D27-E27</f>
        <v>213785.64</v>
      </c>
    </row>
    <row r="28" spans="2:8" ht="20.100000000000001" customHeight="1" x14ac:dyDescent="0.25">
      <c r="C28" s="303" t="s">
        <v>152</v>
      </c>
      <c r="E28" s="43"/>
      <c r="F28" s="43"/>
    </row>
    <row r="29" spans="2:8" s="518" customFormat="1" ht="24.75" customHeight="1" x14ac:dyDescent="0.2">
      <c r="B29" s="518" t="s">
        <v>159</v>
      </c>
      <c r="C29" s="519"/>
      <c r="D29" s="383">
        <f>SUM(D27:D27)</f>
        <v>1118801.23</v>
      </c>
      <c r="E29" s="384">
        <f>SUM(E27:E27)</f>
        <v>905015.59</v>
      </c>
      <c r="F29" s="384">
        <f>SUM(F27:F27)</f>
        <v>213785.64</v>
      </c>
    </row>
    <row r="30" spans="2:8" ht="20.100000000000001" customHeight="1" x14ac:dyDescent="0.25">
      <c r="C30" s="517" t="s">
        <v>74</v>
      </c>
      <c r="E30" s="43"/>
      <c r="F30" s="43"/>
    </row>
    <row r="31" spans="2:8" ht="20.100000000000001" customHeight="1" x14ac:dyDescent="0.25">
      <c r="C31" s="517" t="s">
        <v>74</v>
      </c>
      <c r="E31" s="43"/>
      <c r="F31" s="43"/>
    </row>
    <row r="32" spans="2:8" s="520" customFormat="1" ht="24.75" customHeight="1" x14ac:dyDescent="0.2">
      <c r="B32" s="518" t="s">
        <v>160</v>
      </c>
      <c r="C32" s="519">
        <v>18</v>
      </c>
      <c r="D32" s="381"/>
      <c r="E32" s="382"/>
      <c r="F32" s="382"/>
    </row>
    <row r="33" spans="2:8" ht="20.100000000000001" customHeight="1" x14ac:dyDescent="0.25">
      <c r="B33" s="1" t="s">
        <v>161</v>
      </c>
      <c r="C33" s="517" t="s">
        <v>74</v>
      </c>
      <c r="D33" s="47">
        <f>41923496.42-500</f>
        <v>41922996.420000002</v>
      </c>
      <c r="E33" s="47">
        <v>33543726.420000002</v>
      </c>
      <c r="F33" s="43">
        <f t="shared" ref="F33:F50" si="0">D33-E33</f>
        <v>8379270</v>
      </c>
    </row>
    <row r="34" spans="2:8" ht="20.100000000000001" hidden="1" customHeight="1" x14ac:dyDescent="0.25">
      <c r="B34" s="1" t="s">
        <v>162</v>
      </c>
      <c r="C34" s="517"/>
      <c r="F34" s="43">
        <f t="shared" si="0"/>
        <v>0</v>
      </c>
    </row>
    <row r="35" spans="2:8" ht="20.100000000000001" customHeight="1" x14ac:dyDescent="0.25">
      <c r="B35" s="1" t="s">
        <v>163</v>
      </c>
      <c r="C35" s="517" t="s">
        <v>74</v>
      </c>
      <c r="D35" s="47">
        <f>2479605-4420+260</f>
        <v>2475445</v>
      </c>
      <c r="E35" s="47">
        <v>1909140</v>
      </c>
      <c r="F35" s="43">
        <f t="shared" si="0"/>
        <v>566305</v>
      </c>
    </row>
    <row r="36" spans="2:8" ht="20.100000000000001" customHeight="1" x14ac:dyDescent="0.25">
      <c r="B36" s="1" t="s">
        <v>164</v>
      </c>
      <c r="C36" s="517"/>
      <c r="D36" s="47">
        <v>157283.20000000001</v>
      </c>
      <c r="E36" s="47">
        <v>116685.52</v>
      </c>
      <c r="F36" s="43">
        <f t="shared" si="0"/>
        <v>40597.680000000008</v>
      </c>
    </row>
    <row r="37" spans="2:8" ht="20.100000000000001" customHeight="1" x14ac:dyDescent="0.25">
      <c r="B37" s="1" t="s">
        <v>165</v>
      </c>
      <c r="C37" s="517"/>
      <c r="D37" s="47">
        <v>3486666.66</v>
      </c>
      <c r="E37" s="47">
        <v>2786666.66</v>
      </c>
      <c r="F37" s="43">
        <f t="shared" si="0"/>
        <v>700000</v>
      </c>
    </row>
    <row r="38" spans="2:8" ht="20.100000000000001" customHeight="1" x14ac:dyDescent="0.25">
      <c r="B38" s="1" t="s">
        <v>166</v>
      </c>
      <c r="C38" s="517" t="s">
        <v>74</v>
      </c>
      <c r="D38" s="47">
        <v>2457900</v>
      </c>
      <c r="E38" s="47">
        <v>1960840</v>
      </c>
      <c r="F38" s="43">
        <f t="shared" si="0"/>
        <v>497060</v>
      </c>
      <c r="H38" s="18"/>
    </row>
    <row r="39" spans="2:8" ht="20.100000000000001" customHeight="1" x14ac:dyDescent="0.25">
      <c r="B39" s="1" t="s">
        <v>167</v>
      </c>
      <c r="C39" s="517"/>
      <c r="D39" s="47">
        <v>4350000</v>
      </c>
      <c r="E39" s="47">
        <v>3480000</v>
      </c>
      <c r="F39" s="43">
        <f t="shared" si="0"/>
        <v>870000</v>
      </c>
    </row>
    <row r="40" spans="2:8" ht="20.100000000000001" customHeight="1" x14ac:dyDescent="0.25">
      <c r="B40" s="1" t="s">
        <v>168</v>
      </c>
      <c r="C40" s="517"/>
      <c r="D40" s="47">
        <v>339157</v>
      </c>
      <c r="E40" s="47">
        <v>339157</v>
      </c>
      <c r="F40" s="43">
        <f t="shared" si="0"/>
        <v>0</v>
      </c>
    </row>
    <row r="41" spans="2:8" ht="20.100000000000001" customHeight="1" x14ac:dyDescent="0.25">
      <c r="B41" s="1" t="s">
        <v>169</v>
      </c>
      <c r="C41" s="517"/>
      <c r="D41" s="47">
        <v>67260</v>
      </c>
      <c r="E41" s="47">
        <v>67260</v>
      </c>
      <c r="F41" s="43">
        <f t="shared" si="0"/>
        <v>0</v>
      </c>
    </row>
    <row r="42" spans="2:8" ht="20.100000000000001" customHeight="1" x14ac:dyDescent="0.25">
      <c r="B42" s="1" t="s">
        <v>170</v>
      </c>
      <c r="C42" s="517"/>
      <c r="D42" s="47">
        <v>130000</v>
      </c>
      <c r="E42" s="47">
        <v>70000</v>
      </c>
      <c r="F42" s="43">
        <f t="shared" si="0"/>
        <v>60000</v>
      </c>
    </row>
    <row r="43" spans="2:8" ht="20.100000000000001" customHeight="1" x14ac:dyDescent="0.3">
      <c r="B43" s="1" t="s">
        <v>171</v>
      </c>
      <c r="C43" s="615">
        <f>50976-0</f>
        <v>50976</v>
      </c>
      <c r="D43" s="47">
        <f>348465.15-50976</f>
        <v>297489.15000000002</v>
      </c>
      <c r="E43" s="47">
        <f>225505.55</f>
        <v>225505.55</v>
      </c>
      <c r="F43" s="43">
        <f t="shared" si="0"/>
        <v>71983.600000000035</v>
      </c>
    </row>
    <row r="44" spans="2:8" ht="20.100000000000001" customHeight="1" x14ac:dyDescent="0.25">
      <c r="B44" s="1" t="s">
        <v>172</v>
      </c>
      <c r="C44" s="517" t="s">
        <v>74</v>
      </c>
      <c r="D44" s="47">
        <v>4061408.35</v>
      </c>
      <c r="E44" s="47">
        <v>3249126.68</v>
      </c>
      <c r="F44" s="43">
        <f t="shared" si="0"/>
        <v>812281.66999999993</v>
      </c>
    </row>
    <row r="45" spans="2:8" ht="20.100000000000001" customHeight="1" x14ac:dyDescent="0.25">
      <c r="B45" s="1" t="s">
        <v>173</v>
      </c>
      <c r="C45" s="517" t="s">
        <v>74</v>
      </c>
      <c r="D45" s="47">
        <v>20842391.66</v>
      </c>
      <c r="E45" s="47">
        <v>16673913.33</v>
      </c>
      <c r="F45" s="43">
        <f t="shared" si="0"/>
        <v>4168478.33</v>
      </c>
    </row>
    <row r="46" spans="2:8" ht="20.100000000000001" customHeight="1" x14ac:dyDescent="0.25">
      <c r="B46" s="1" t="s">
        <v>174</v>
      </c>
      <c r="C46" s="517" t="s">
        <v>74</v>
      </c>
      <c r="D46" s="47">
        <v>920000</v>
      </c>
      <c r="E46" s="47">
        <v>920000</v>
      </c>
      <c r="F46" s="43">
        <f t="shared" si="0"/>
        <v>0</v>
      </c>
    </row>
    <row r="47" spans="2:8" ht="20.100000000000001" customHeight="1" x14ac:dyDescent="0.25">
      <c r="B47" s="1" t="s">
        <v>175</v>
      </c>
      <c r="C47" s="517" t="s">
        <v>74</v>
      </c>
      <c r="D47" s="47">
        <v>3243793.76</v>
      </c>
      <c r="E47" s="47">
        <v>2742633.98</v>
      </c>
      <c r="F47" s="43">
        <f t="shared" si="0"/>
        <v>501159.7799999998</v>
      </c>
    </row>
    <row r="48" spans="2:8" ht="20.100000000000001" customHeight="1" x14ac:dyDescent="0.25">
      <c r="B48" s="1" t="s">
        <v>903</v>
      </c>
      <c r="C48" s="517"/>
      <c r="D48" s="47">
        <v>10000</v>
      </c>
      <c r="E48" s="47">
        <v>0</v>
      </c>
      <c r="F48" s="43">
        <f t="shared" si="0"/>
        <v>10000</v>
      </c>
    </row>
    <row r="49" spans="2:6" ht="20.100000000000001" customHeight="1" x14ac:dyDescent="0.25">
      <c r="B49" s="1" t="s">
        <v>176</v>
      </c>
      <c r="C49" s="517" t="s">
        <v>74</v>
      </c>
      <c r="D49" s="47">
        <v>1591580.6</v>
      </c>
      <c r="E49" s="47">
        <v>1273149.3400000001</v>
      </c>
      <c r="F49" s="43">
        <f t="shared" si="0"/>
        <v>318431.26</v>
      </c>
    </row>
    <row r="50" spans="2:6" ht="20.100000000000001" customHeight="1" x14ac:dyDescent="0.25">
      <c r="B50" s="1" t="s">
        <v>177</v>
      </c>
      <c r="C50" s="517" t="s">
        <v>74</v>
      </c>
      <c r="D50" s="47">
        <v>5731780.7199999997</v>
      </c>
      <c r="E50" s="47">
        <v>4570861.6399999997</v>
      </c>
      <c r="F50" s="43">
        <f t="shared" si="0"/>
        <v>1160919.08</v>
      </c>
    </row>
    <row r="51" spans="2:6" ht="20.100000000000001" customHeight="1" x14ac:dyDescent="0.25">
      <c r="C51" s="303" t="s">
        <v>152</v>
      </c>
      <c r="E51" s="43"/>
      <c r="F51" s="43"/>
    </row>
    <row r="52" spans="2:6" s="518" customFormat="1" ht="24.75" customHeight="1" x14ac:dyDescent="0.2">
      <c r="B52" s="518" t="s">
        <v>178</v>
      </c>
      <c r="C52" s="519"/>
      <c r="D52" s="383">
        <f>SUM(D33:D50)</f>
        <v>92085152.519999996</v>
      </c>
      <c r="E52" s="383">
        <f>SUM(E33:E50)</f>
        <v>73928666.120000005</v>
      </c>
      <c r="F52" s="383">
        <f>SUM(F33:F50)</f>
        <v>18156486.399999999</v>
      </c>
    </row>
    <row r="53" spans="2:6" ht="20.100000000000001" customHeight="1" x14ac:dyDescent="0.25">
      <c r="C53" s="517" t="s">
        <v>74</v>
      </c>
      <c r="E53" s="43"/>
      <c r="F53" s="43"/>
    </row>
    <row r="54" spans="2:6" ht="20.100000000000001" customHeight="1" x14ac:dyDescent="0.25">
      <c r="C54" s="517" t="s">
        <v>74</v>
      </c>
      <c r="E54" s="43"/>
      <c r="F54" s="43"/>
    </row>
    <row r="55" spans="2:6" s="520" customFormat="1" ht="24.75" customHeight="1" x14ac:dyDescent="0.2">
      <c r="B55" s="518" t="s">
        <v>179</v>
      </c>
      <c r="C55" s="519">
        <v>19</v>
      </c>
      <c r="D55" s="381"/>
      <c r="E55" s="382"/>
      <c r="F55" s="382"/>
    </row>
    <row r="56" spans="2:6" ht="20.100000000000001" customHeight="1" x14ac:dyDescent="0.25">
      <c r="B56" s="1" t="s">
        <v>180</v>
      </c>
      <c r="C56" s="517" t="s">
        <v>74</v>
      </c>
      <c r="D56" s="47">
        <v>1045847.28</v>
      </c>
      <c r="E56" s="47">
        <v>948023.92</v>
      </c>
      <c r="F56" s="43">
        <f>D56-E56</f>
        <v>97823.359999999986</v>
      </c>
    </row>
    <row r="57" spans="2:6" ht="20.100000000000001" customHeight="1" x14ac:dyDescent="0.25">
      <c r="B57" s="1" t="s">
        <v>181</v>
      </c>
      <c r="C57" s="517" t="s">
        <v>74</v>
      </c>
      <c r="D57" s="47">
        <v>876263.3</v>
      </c>
      <c r="E57" s="47">
        <v>701010.64</v>
      </c>
      <c r="F57" s="43">
        <f t="shared" ref="F57:F88" si="1">D57-E57</f>
        <v>175252.66000000003</v>
      </c>
    </row>
    <row r="58" spans="2:6" ht="20.100000000000001" customHeight="1" x14ac:dyDescent="0.25">
      <c r="B58" s="1" t="s">
        <v>182</v>
      </c>
      <c r="C58" s="517" t="s">
        <v>74</v>
      </c>
      <c r="D58" s="47">
        <v>2174749.58</v>
      </c>
      <c r="E58" s="47">
        <v>1975422.88</v>
      </c>
      <c r="F58" s="43">
        <f t="shared" si="1"/>
        <v>199326.70000000019</v>
      </c>
    </row>
    <row r="59" spans="2:6" ht="20.100000000000001" customHeight="1" x14ac:dyDescent="0.25">
      <c r="B59" s="1" t="s">
        <v>183</v>
      </c>
      <c r="C59" s="517" t="s">
        <v>74</v>
      </c>
      <c r="D59" s="47">
        <v>121599.11</v>
      </c>
      <c r="E59" s="47">
        <v>99724.11</v>
      </c>
      <c r="F59" s="43">
        <f t="shared" si="1"/>
        <v>21875</v>
      </c>
    </row>
    <row r="60" spans="2:6" ht="20.100000000000001" customHeight="1" x14ac:dyDescent="0.25">
      <c r="B60" s="1" t="s">
        <v>184</v>
      </c>
      <c r="C60" s="517" t="s">
        <v>74</v>
      </c>
      <c r="D60" s="47">
        <v>332481.64</v>
      </c>
      <c r="E60" s="47">
        <v>219588.75</v>
      </c>
      <c r="F60" s="43">
        <f t="shared" si="1"/>
        <v>112892.89000000001</v>
      </c>
    </row>
    <row r="61" spans="2:6" ht="20.100000000000001" customHeight="1" x14ac:dyDescent="0.25">
      <c r="B61" s="1" t="s">
        <v>185</v>
      </c>
      <c r="C61" s="517" t="s">
        <v>74</v>
      </c>
      <c r="D61" s="47">
        <v>41250</v>
      </c>
      <c r="E61" s="47">
        <v>33000</v>
      </c>
      <c r="F61" s="43">
        <f t="shared" si="1"/>
        <v>8250</v>
      </c>
    </row>
    <row r="62" spans="2:6" ht="20.100000000000001" customHeight="1" x14ac:dyDescent="0.25">
      <c r="B62" s="1" t="s">
        <v>186</v>
      </c>
      <c r="C62" s="517"/>
      <c r="D62" s="47">
        <v>600</v>
      </c>
      <c r="E62" s="47">
        <v>600</v>
      </c>
      <c r="F62" s="43">
        <f>D62-E62</f>
        <v>0</v>
      </c>
    </row>
    <row r="63" spans="2:6" ht="20.100000000000001" customHeight="1" x14ac:dyDescent="0.25">
      <c r="B63" s="1" t="s">
        <v>187</v>
      </c>
      <c r="C63" s="517"/>
      <c r="D63" s="47">
        <v>7479.02</v>
      </c>
      <c r="E63" s="47">
        <v>7479.02</v>
      </c>
      <c r="F63" s="43">
        <f t="shared" si="1"/>
        <v>0</v>
      </c>
    </row>
    <row r="64" spans="2:6" ht="20.100000000000001" customHeight="1" x14ac:dyDescent="0.25">
      <c r="B64" s="1" t="s">
        <v>188</v>
      </c>
      <c r="C64" s="517"/>
      <c r="D64" s="47">
        <v>56900</v>
      </c>
      <c r="E64" s="47">
        <v>38150</v>
      </c>
      <c r="F64" s="43">
        <f t="shared" si="1"/>
        <v>18750</v>
      </c>
    </row>
    <row r="65" spans="2:6" ht="20.100000000000001" hidden="1" customHeight="1" x14ac:dyDescent="0.25">
      <c r="B65" s="1" t="s">
        <v>189</v>
      </c>
      <c r="C65" s="517"/>
      <c r="F65" s="43">
        <f t="shared" ref="F65:F66" si="2">D65-E65</f>
        <v>0</v>
      </c>
    </row>
    <row r="66" spans="2:6" ht="20.100000000000001" customHeight="1" x14ac:dyDescent="0.25">
      <c r="B66" s="1" t="s">
        <v>746</v>
      </c>
      <c r="C66" s="517"/>
      <c r="D66" s="47">
        <v>8900</v>
      </c>
      <c r="E66" s="47">
        <v>8900</v>
      </c>
      <c r="F66" s="43">
        <f t="shared" si="2"/>
        <v>0</v>
      </c>
    </row>
    <row r="67" spans="2:6" ht="20.100000000000001" customHeight="1" x14ac:dyDescent="0.25">
      <c r="B67" s="1" t="s">
        <v>190</v>
      </c>
      <c r="C67" s="517"/>
      <c r="D67" s="47">
        <v>330.5</v>
      </c>
      <c r="E67" s="47">
        <v>330.5</v>
      </c>
      <c r="F67" s="43">
        <f t="shared" si="1"/>
        <v>0</v>
      </c>
    </row>
    <row r="68" spans="2:6" ht="20.100000000000001" hidden="1" customHeight="1" x14ac:dyDescent="0.25">
      <c r="B68" s="1" t="s">
        <v>191</v>
      </c>
      <c r="C68" s="517"/>
      <c r="F68" s="43">
        <f t="shared" si="1"/>
        <v>0</v>
      </c>
    </row>
    <row r="69" spans="2:6" ht="20.100000000000001" customHeight="1" x14ac:dyDescent="0.25">
      <c r="B69" s="1" t="s">
        <v>192</v>
      </c>
      <c r="C69" s="517"/>
      <c r="D69" s="47">
        <v>250012.5</v>
      </c>
      <c r="E69" s="47">
        <v>250012.5</v>
      </c>
      <c r="F69" s="43">
        <f t="shared" si="1"/>
        <v>0</v>
      </c>
    </row>
    <row r="70" spans="2:6" ht="20.100000000000001" customHeight="1" x14ac:dyDescent="0.25">
      <c r="B70" s="1" t="s">
        <v>199</v>
      </c>
      <c r="C70" s="517"/>
      <c r="D70" s="47">
        <v>1054743</v>
      </c>
      <c r="E70" s="47">
        <v>776263</v>
      </c>
      <c r="F70" s="43">
        <f>D70-E70</f>
        <v>278480</v>
      </c>
    </row>
    <row r="71" spans="2:6" ht="20.100000000000001" customHeight="1" x14ac:dyDescent="0.25">
      <c r="B71" s="1" t="s">
        <v>193</v>
      </c>
      <c r="C71" s="517"/>
      <c r="D71" s="47">
        <v>411103.1</v>
      </c>
      <c r="E71" s="47">
        <v>328882.48</v>
      </c>
      <c r="F71" s="43">
        <f t="shared" si="1"/>
        <v>82220.62</v>
      </c>
    </row>
    <row r="72" spans="2:6" ht="20.100000000000001" customHeight="1" x14ac:dyDescent="0.25">
      <c r="B72" s="1" t="s">
        <v>194</v>
      </c>
      <c r="C72" s="517" t="s">
        <v>74</v>
      </c>
      <c r="D72" s="47">
        <v>4766613.4400000004</v>
      </c>
      <c r="E72" s="47">
        <v>3926837.96</v>
      </c>
      <c r="F72" s="43">
        <f t="shared" si="1"/>
        <v>839775.48000000045</v>
      </c>
    </row>
    <row r="73" spans="2:6" ht="20.100000000000001" hidden="1" customHeight="1" x14ac:dyDescent="0.25">
      <c r="B73" s="1" t="s">
        <v>195</v>
      </c>
      <c r="C73" s="517"/>
      <c r="F73" s="43">
        <f t="shared" si="1"/>
        <v>0</v>
      </c>
    </row>
    <row r="74" spans="2:6" ht="20.100000000000001" customHeight="1" x14ac:dyDescent="0.25">
      <c r="B74" s="1" t="s">
        <v>196</v>
      </c>
      <c r="D74" s="47">
        <v>115295.78</v>
      </c>
      <c r="E74" s="47">
        <v>82002.91</v>
      </c>
      <c r="F74" s="43">
        <f t="shared" si="1"/>
        <v>33292.869999999995</v>
      </c>
    </row>
    <row r="75" spans="2:6" ht="20.100000000000001" customHeight="1" x14ac:dyDescent="0.25">
      <c r="B75" s="1" t="s">
        <v>197</v>
      </c>
      <c r="C75" s="517"/>
      <c r="D75" s="47">
        <v>666626.31999999995</v>
      </c>
      <c r="E75" s="47">
        <v>627424.25</v>
      </c>
      <c r="F75" s="43">
        <f>D75-E75</f>
        <v>39202.069999999949</v>
      </c>
    </row>
    <row r="76" spans="2:6" ht="20.100000000000001" customHeight="1" x14ac:dyDescent="0.25">
      <c r="B76" s="1" t="s">
        <v>198</v>
      </c>
      <c r="C76" s="517"/>
      <c r="D76" s="47">
        <v>25467.17</v>
      </c>
      <c r="E76" s="47">
        <v>25467.17</v>
      </c>
      <c r="F76" s="43">
        <f t="shared" ref="F76:F80" si="3">D76-E76</f>
        <v>0</v>
      </c>
    </row>
    <row r="77" spans="2:6" ht="20.100000000000001" hidden="1" customHeight="1" x14ac:dyDescent="0.25">
      <c r="B77" s="1" t="s">
        <v>200</v>
      </c>
      <c r="C77" s="517"/>
      <c r="F77" s="43">
        <f t="shared" si="3"/>
        <v>0</v>
      </c>
    </row>
    <row r="78" spans="2:6" ht="20.100000000000001" customHeight="1" x14ac:dyDescent="0.25">
      <c r="B78" s="1" t="s">
        <v>201</v>
      </c>
      <c r="C78" s="517"/>
      <c r="D78" s="47">
        <v>14000</v>
      </c>
      <c r="E78" s="47">
        <v>4000</v>
      </c>
      <c r="F78" s="43">
        <f t="shared" si="3"/>
        <v>10000</v>
      </c>
    </row>
    <row r="79" spans="2:6" ht="20.100000000000001" customHeight="1" x14ac:dyDescent="0.25">
      <c r="B79" s="1" t="s">
        <v>202</v>
      </c>
      <c r="C79" s="517" t="s">
        <v>74</v>
      </c>
      <c r="D79" s="47">
        <v>3610.25</v>
      </c>
      <c r="E79" s="47">
        <v>2800</v>
      </c>
      <c r="F79" s="43">
        <f t="shared" si="3"/>
        <v>810.25</v>
      </c>
    </row>
    <row r="80" spans="2:6" ht="20.100000000000001" hidden="1" customHeight="1" x14ac:dyDescent="0.25">
      <c r="B80" s="1" t="s">
        <v>203</v>
      </c>
      <c r="C80" s="517"/>
      <c r="F80" s="43">
        <f t="shared" si="3"/>
        <v>0</v>
      </c>
    </row>
    <row r="81" spans="2:8" ht="20.100000000000001" hidden="1" customHeight="1" x14ac:dyDescent="0.25">
      <c r="B81" s="1" t="s">
        <v>204</v>
      </c>
      <c r="C81" s="517"/>
      <c r="F81" s="43">
        <f t="shared" ref="F81" si="4">D81-E81</f>
        <v>0</v>
      </c>
    </row>
    <row r="82" spans="2:8" ht="20.100000000000001" customHeight="1" x14ac:dyDescent="0.25">
      <c r="B82" s="1" t="s">
        <v>205</v>
      </c>
      <c r="C82" s="517"/>
      <c r="D82" s="47">
        <v>314200</v>
      </c>
      <c r="E82" s="47">
        <v>314200</v>
      </c>
      <c r="F82" s="43">
        <f t="shared" si="1"/>
        <v>0</v>
      </c>
    </row>
    <row r="83" spans="2:8" ht="20.100000000000001" customHeight="1" x14ac:dyDescent="0.25">
      <c r="B83" s="1" t="s">
        <v>206</v>
      </c>
      <c r="C83" s="517"/>
      <c r="D83" s="47">
        <v>1852601.83</v>
      </c>
      <c r="E83" s="47">
        <v>295001.83</v>
      </c>
      <c r="F83" s="43">
        <f t="shared" si="1"/>
        <v>1557600</v>
      </c>
    </row>
    <row r="84" spans="2:8" ht="20.100000000000001" customHeight="1" x14ac:dyDescent="0.25">
      <c r="B84" s="1" t="s">
        <v>207</v>
      </c>
      <c r="C84" s="517"/>
      <c r="D84" s="47">
        <v>72610240.620000005</v>
      </c>
      <c r="E84" s="47">
        <v>71626361.409999996</v>
      </c>
      <c r="F84" s="43">
        <f t="shared" si="1"/>
        <v>983879.21000000834</v>
      </c>
      <c r="H84" s="617">
        <v>72610240.620000005</v>
      </c>
    </row>
    <row r="85" spans="2:8" ht="20.100000000000001" customHeight="1" x14ac:dyDescent="0.25">
      <c r="B85" s="1" t="s">
        <v>208</v>
      </c>
      <c r="C85" s="517"/>
      <c r="D85" s="47">
        <v>814650</v>
      </c>
      <c r="E85" s="47">
        <v>694650</v>
      </c>
      <c r="F85" s="43">
        <f t="shared" si="1"/>
        <v>120000</v>
      </c>
    </row>
    <row r="86" spans="2:8" ht="20.100000000000001" customHeight="1" x14ac:dyDescent="0.25">
      <c r="B86" s="1" t="s">
        <v>209</v>
      </c>
      <c r="C86" s="517"/>
      <c r="D86" s="47">
        <v>11435</v>
      </c>
      <c r="E86" s="47">
        <v>11435</v>
      </c>
      <c r="F86" s="43">
        <f t="shared" ref="F86" si="5">D86-E86</f>
        <v>0</v>
      </c>
    </row>
    <row r="87" spans="2:8" ht="20.100000000000001" hidden="1" customHeight="1" x14ac:dyDescent="0.25">
      <c r="B87" s="1" t="s">
        <v>210</v>
      </c>
      <c r="C87" s="517"/>
      <c r="F87" s="43">
        <f t="shared" si="1"/>
        <v>0</v>
      </c>
    </row>
    <row r="88" spans="2:8" ht="20.100000000000001" hidden="1" customHeight="1" x14ac:dyDescent="0.25">
      <c r="B88" s="1" t="s">
        <v>210</v>
      </c>
      <c r="C88" s="522"/>
      <c r="D88" s="47">
        <v>0</v>
      </c>
      <c r="E88" s="43">
        <v>0</v>
      </c>
      <c r="F88" s="43">
        <f t="shared" si="1"/>
        <v>0</v>
      </c>
    </row>
    <row r="89" spans="2:8" ht="20.100000000000001" customHeight="1" x14ac:dyDescent="0.3">
      <c r="B89" s="503"/>
      <c r="C89" s="303" t="s">
        <v>152</v>
      </c>
      <c r="E89" s="43"/>
      <c r="F89" s="43"/>
    </row>
    <row r="90" spans="2:8" s="518" customFormat="1" ht="24.75" customHeight="1" x14ac:dyDescent="0.2">
      <c r="B90" s="518" t="s">
        <v>211</v>
      </c>
      <c r="C90" s="519" t="s">
        <v>74</v>
      </c>
      <c r="D90" s="383">
        <f>SUM(D56:D88)</f>
        <v>87576999.439999998</v>
      </c>
      <c r="E90" s="383">
        <f>SUM(E56:E88)</f>
        <v>82997568.329999998</v>
      </c>
      <c r="F90" s="383">
        <f>SUM(F56:F88)</f>
        <v>4579431.1100000087</v>
      </c>
    </row>
    <row r="91" spans="2:8" ht="20.100000000000001" customHeight="1" x14ac:dyDescent="0.25">
      <c r="C91" s="517" t="s">
        <v>74</v>
      </c>
      <c r="E91" s="43"/>
      <c r="F91" s="43"/>
    </row>
    <row r="92" spans="2:8" ht="20.100000000000001" customHeight="1" x14ac:dyDescent="0.25">
      <c r="C92" s="517" t="s">
        <v>74</v>
      </c>
      <c r="F92" s="43"/>
    </row>
    <row r="93" spans="2:8" s="520" customFormat="1" ht="24.75" customHeight="1" x14ac:dyDescent="0.2">
      <c r="B93" s="518" t="s">
        <v>212</v>
      </c>
      <c r="C93" s="519">
        <v>20</v>
      </c>
      <c r="D93" s="381"/>
      <c r="E93" s="382"/>
      <c r="F93" s="382"/>
    </row>
    <row r="94" spans="2:8" ht="20.100000000000001" customHeight="1" x14ac:dyDescent="0.25">
      <c r="B94" s="1" t="s">
        <v>213</v>
      </c>
      <c r="C94" s="517" t="s">
        <v>74</v>
      </c>
      <c r="D94" s="47">
        <v>786635.31</v>
      </c>
      <c r="E94" s="47">
        <v>692036.78</v>
      </c>
      <c r="F94" s="43">
        <f>D94-E94</f>
        <v>94598.530000000028</v>
      </c>
      <c r="H94" s="520"/>
    </row>
    <row r="95" spans="2:8" ht="20.100000000000001" hidden="1" customHeight="1" x14ac:dyDescent="0.25">
      <c r="B95" s="1" t="s">
        <v>214</v>
      </c>
      <c r="C95" s="517"/>
      <c r="F95" s="43">
        <f t="shared" ref="F95" si="6">D95-E95</f>
        <v>0</v>
      </c>
      <c r="H95" s="520"/>
    </row>
    <row r="96" spans="2:8" ht="20.100000000000001" customHeight="1" x14ac:dyDescent="0.25">
      <c r="B96" s="1" t="s">
        <v>215</v>
      </c>
      <c r="C96" s="517"/>
      <c r="D96" s="47">
        <v>228825.60000000001</v>
      </c>
      <c r="E96" s="47">
        <v>228825.60000000001</v>
      </c>
      <c r="F96" s="43">
        <f t="shared" ref="F96:F113" si="7">D96-E96</f>
        <v>0</v>
      </c>
      <c r="H96" s="520"/>
    </row>
    <row r="97" spans="2:8" ht="20.100000000000001" customHeight="1" x14ac:dyDescent="0.25">
      <c r="B97" s="1" t="s">
        <v>216</v>
      </c>
      <c r="C97" s="517" t="s">
        <v>74</v>
      </c>
      <c r="D97" s="47">
        <v>31782.89</v>
      </c>
      <c r="E97" s="47">
        <v>31782.89</v>
      </c>
      <c r="F97" s="43">
        <f t="shared" si="7"/>
        <v>0</v>
      </c>
      <c r="H97" s="520"/>
    </row>
    <row r="98" spans="2:8" ht="20.100000000000001" customHeight="1" x14ac:dyDescent="0.25">
      <c r="B98" s="1" t="s">
        <v>217</v>
      </c>
      <c r="C98" s="517" t="s">
        <v>74</v>
      </c>
      <c r="D98" s="47">
        <v>9516.0499999999993</v>
      </c>
      <c r="E98" s="47">
        <v>9516.0499999999993</v>
      </c>
      <c r="F98" s="43">
        <f t="shared" si="7"/>
        <v>0</v>
      </c>
      <c r="H98" s="520"/>
    </row>
    <row r="99" spans="2:8" ht="20.100000000000001" customHeight="1" x14ac:dyDescent="0.25">
      <c r="B99" s="1" t="s">
        <v>218</v>
      </c>
      <c r="C99" s="517" t="s">
        <v>74</v>
      </c>
      <c r="D99" s="47">
        <v>3481757.6</v>
      </c>
      <c r="E99" s="47">
        <v>2939093.8</v>
      </c>
      <c r="F99" s="43">
        <f t="shared" si="7"/>
        <v>542663.80000000028</v>
      </c>
      <c r="H99" s="520"/>
    </row>
    <row r="100" spans="2:8" ht="20.100000000000001" hidden="1" customHeight="1" x14ac:dyDescent="0.25">
      <c r="B100" s="1" t="s">
        <v>219</v>
      </c>
      <c r="C100" s="517"/>
      <c r="F100" s="43">
        <f>D100-E100</f>
        <v>0</v>
      </c>
      <c r="H100" s="520"/>
    </row>
    <row r="101" spans="2:8" ht="20.100000000000001" hidden="1" customHeight="1" x14ac:dyDescent="0.25">
      <c r="B101" s="1" t="s">
        <v>220</v>
      </c>
      <c r="C101" s="517"/>
      <c r="F101" s="43">
        <f>D101-E101</f>
        <v>0</v>
      </c>
      <c r="H101" s="520"/>
    </row>
    <row r="102" spans="2:8" ht="20.100000000000001" hidden="1" customHeight="1" x14ac:dyDescent="0.25">
      <c r="B102" s="1" t="s">
        <v>221</v>
      </c>
      <c r="C102" s="517"/>
      <c r="F102" s="43">
        <f t="shared" si="7"/>
        <v>0</v>
      </c>
      <c r="H102" s="520"/>
    </row>
    <row r="103" spans="2:8" ht="20.100000000000001" customHeight="1" x14ac:dyDescent="0.25">
      <c r="B103" s="1" t="s">
        <v>222</v>
      </c>
      <c r="C103" s="517" t="s">
        <v>74</v>
      </c>
      <c r="D103" s="47">
        <v>7559.25</v>
      </c>
      <c r="E103" s="47">
        <v>4069.25</v>
      </c>
      <c r="F103" s="43">
        <f t="shared" si="7"/>
        <v>3490</v>
      </c>
      <c r="H103" s="520"/>
    </row>
    <row r="104" spans="2:8" ht="20.100000000000001" customHeight="1" x14ac:dyDescent="0.25">
      <c r="B104" s="1" t="s">
        <v>223</v>
      </c>
      <c r="C104" s="517" t="s">
        <v>74</v>
      </c>
      <c r="D104" s="47">
        <v>107771.16</v>
      </c>
      <c r="E104" s="47">
        <v>60474.81</v>
      </c>
      <c r="F104" s="43">
        <f t="shared" si="7"/>
        <v>47296.350000000006</v>
      </c>
      <c r="H104" s="520"/>
    </row>
    <row r="105" spans="2:8" ht="20.100000000000001" hidden="1" customHeight="1" x14ac:dyDescent="0.25">
      <c r="B105" s="1" t="s">
        <v>224</v>
      </c>
      <c r="C105" s="517"/>
      <c r="F105" s="43">
        <f t="shared" si="7"/>
        <v>0</v>
      </c>
      <c r="H105" s="520"/>
    </row>
    <row r="106" spans="2:8" ht="20.100000000000001" customHeight="1" x14ac:dyDescent="0.25">
      <c r="B106" s="1" t="s">
        <v>225</v>
      </c>
      <c r="C106" s="517" t="s">
        <v>74</v>
      </c>
      <c r="D106" s="47">
        <v>84939.46</v>
      </c>
      <c r="E106" s="47">
        <v>50397.09</v>
      </c>
      <c r="F106" s="43">
        <f t="shared" si="7"/>
        <v>34542.37000000001</v>
      </c>
      <c r="H106" s="520"/>
    </row>
    <row r="107" spans="2:8" ht="20.100000000000001" customHeight="1" x14ac:dyDescent="0.25">
      <c r="B107" s="1" t="s">
        <v>226</v>
      </c>
      <c r="C107" s="517" t="s">
        <v>74</v>
      </c>
      <c r="D107" s="47">
        <v>10993.32</v>
      </c>
      <c r="E107" s="47">
        <v>5105</v>
      </c>
      <c r="F107" s="43">
        <f>D107-E107</f>
        <v>5888.32</v>
      </c>
      <c r="H107" s="520"/>
    </row>
    <row r="108" spans="2:8" ht="20.100000000000001" hidden="1" customHeight="1" x14ac:dyDescent="0.25">
      <c r="B108" s="1" t="s">
        <v>227</v>
      </c>
      <c r="C108" s="517"/>
      <c r="F108" s="43">
        <f t="shared" si="7"/>
        <v>0</v>
      </c>
      <c r="H108" s="520"/>
    </row>
    <row r="109" spans="2:8" ht="20.100000000000001" customHeight="1" x14ac:dyDescent="0.25">
      <c r="B109" s="1" t="s">
        <v>228</v>
      </c>
      <c r="C109" s="517" t="s">
        <v>74</v>
      </c>
      <c r="D109" s="47">
        <v>981896.36</v>
      </c>
      <c r="E109" s="47">
        <v>859694.44</v>
      </c>
      <c r="F109" s="43">
        <f t="shared" si="7"/>
        <v>122201.92000000004</v>
      </c>
      <c r="H109" s="520"/>
    </row>
    <row r="110" spans="2:8" ht="20.100000000000001" customHeight="1" x14ac:dyDescent="0.25">
      <c r="B110" s="1" t="s">
        <v>229</v>
      </c>
      <c r="C110" s="517" t="s">
        <v>74</v>
      </c>
      <c r="D110" s="47">
        <v>2711028.09</v>
      </c>
      <c r="E110" s="47">
        <v>2193137.02</v>
      </c>
      <c r="F110" s="43">
        <f t="shared" si="7"/>
        <v>517891.06999999983</v>
      </c>
      <c r="H110" s="520"/>
    </row>
    <row r="111" spans="2:8" ht="20.100000000000001" customHeight="1" x14ac:dyDescent="0.25">
      <c r="B111" s="1" t="s">
        <v>230</v>
      </c>
      <c r="C111" s="517"/>
      <c r="D111" s="47">
        <v>511988.3</v>
      </c>
      <c r="E111" s="47">
        <v>409590.64</v>
      </c>
      <c r="F111" s="43">
        <f t="shared" si="7"/>
        <v>102397.65999999997</v>
      </c>
      <c r="H111" s="520"/>
    </row>
    <row r="112" spans="2:8" ht="20.100000000000001" customHeight="1" x14ac:dyDescent="0.25">
      <c r="B112" s="1" t="s">
        <v>231</v>
      </c>
      <c r="C112" s="517" t="s">
        <v>74</v>
      </c>
      <c r="D112" s="47">
        <v>1690295</v>
      </c>
      <c r="E112" s="47">
        <v>1290164.79</v>
      </c>
      <c r="F112" s="43">
        <f>D112-E112</f>
        <v>400130.20999999996</v>
      </c>
      <c r="H112" s="520"/>
    </row>
    <row r="113" spans="2:8" ht="20.100000000000001" customHeight="1" x14ac:dyDescent="0.25">
      <c r="B113" s="1" t="s">
        <v>232</v>
      </c>
      <c r="C113" s="517"/>
      <c r="D113" s="47">
        <v>83652.25</v>
      </c>
      <c r="E113" s="47">
        <v>66921.8</v>
      </c>
      <c r="F113" s="43">
        <f t="shared" si="7"/>
        <v>16730.449999999997</v>
      </c>
      <c r="H113" s="520"/>
    </row>
    <row r="114" spans="2:8" ht="20.100000000000001" customHeight="1" x14ac:dyDescent="0.25">
      <c r="C114" s="303" t="s">
        <v>152</v>
      </c>
      <c r="E114" s="43"/>
      <c r="F114" s="43"/>
      <c r="H114" s="520"/>
    </row>
    <row r="115" spans="2:8" s="518" customFormat="1" ht="24.75" customHeight="1" x14ac:dyDescent="0.2">
      <c r="B115" s="518" t="s">
        <v>233</v>
      </c>
      <c r="C115" s="519" t="s">
        <v>74</v>
      </c>
      <c r="D115" s="383">
        <f>SUM(D94:D113)</f>
        <v>10728640.640000001</v>
      </c>
      <c r="E115" s="383">
        <f>SUM(E94:E113)</f>
        <v>8840809.9600000009</v>
      </c>
      <c r="F115" s="383">
        <f>SUM(F94:F113)</f>
        <v>1887830.68</v>
      </c>
      <c r="H115" s="520"/>
    </row>
    <row r="116" spans="2:8" ht="20.100000000000001" customHeight="1" x14ac:dyDescent="0.25">
      <c r="C116" s="517" t="s">
        <v>74</v>
      </c>
      <c r="E116" s="325"/>
      <c r="F116" s="43"/>
      <c r="H116" s="520"/>
    </row>
    <row r="117" spans="2:8" ht="20.100000000000001" customHeight="1" x14ac:dyDescent="0.25">
      <c r="C117" s="517" t="s">
        <v>74</v>
      </c>
      <c r="E117" s="43"/>
      <c r="F117" s="43"/>
      <c r="H117" s="520"/>
    </row>
    <row r="118" spans="2:8" s="520" customFormat="1" ht="24.75" customHeight="1" x14ac:dyDescent="0.2">
      <c r="B118" s="518" t="s">
        <v>234</v>
      </c>
      <c r="C118" s="519">
        <v>21</v>
      </c>
      <c r="D118" s="381"/>
      <c r="E118" s="382"/>
      <c r="F118" s="382"/>
    </row>
    <row r="119" spans="2:8" ht="20.100000000000001" customHeight="1" x14ac:dyDescent="0.25">
      <c r="B119" s="1" t="s">
        <v>235</v>
      </c>
      <c r="C119" s="517" t="s">
        <v>74</v>
      </c>
      <c r="F119" s="43">
        <f t="shared" ref="F119:F130" si="8">D119-E119</f>
        <v>0</v>
      </c>
      <c r="H119" s="520"/>
    </row>
    <row r="120" spans="2:8" ht="20.100000000000001" customHeight="1" x14ac:dyDescent="0.25">
      <c r="B120" s="1" t="s">
        <v>236</v>
      </c>
      <c r="C120" s="517"/>
      <c r="D120" s="47">
        <v>121527</v>
      </c>
      <c r="F120" s="43">
        <f t="shared" si="8"/>
        <v>121527</v>
      </c>
      <c r="H120" s="520"/>
    </row>
    <row r="121" spans="2:8" ht="20.100000000000001" customHeight="1" x14ac:dyDescent="0.25">
      <c r="B121" s="1" t="s">
        <v>753</v>
      </c>
      <c r="C121" s="517"/>
      <c r="D121" s="47">
        <v>223115861.97999999</v>
      </c>
      <c r="E121" s="47">
        <v>223115861.97999999</v>
      </c>
      <c r="F121" s="43">
        <f t="shared" si="8"/>
        <v>0</v>
      </c>
      <c r="H121" s="520"/>
    </row>
    <row r="122" spans="2:8" ht="20.100000000000001" customHeight="1" x14ac:dyDescent="0.25">
      <c r="B122" s="1" t="s">
        <v>237</v>
      </c>
      <c r="C122" s="517"/>
      <c r="D122" s="47">
        <v>697920</v>
      </c>
      <c r="E122" s="47">
        <v>525668</v>
      </c>
      <c r="F122" s="43">
        <f t="shared" si="8"/>
        <v>172252</v>
      </c>
      <c r="H122" s="18" t="s">
        <v>0</v>
      </c>
    </row>
    <row r="123" spans="2:8" ht="20.100000000000001" hidden="1" customHeight="1" x14ac:dyDescent="0.25">
      <c r="B123" s="1" t="s">
        <v>238</v>
      </c>
      <c r="C123" s="517"/>
      <c r="F123" s="43">
        <f t="shared" si="8"/>
        <v>0</v>
      </c>
    </row>
    <row r="124" spans="2:8" ht="20.100000000000001" hidden="1" customHeight="1" x14ac:dyDescent="0.25">
      <c r="B124" s="1" t="s">
        <v>239</v>
      </c>
      <c r="C124" s="517"/>
      <c r="F124" s="43">
        <f t="shared" si="8"/>
        <v>0</v>
      </c>
    </row>
    <row r="125" spans="2:8" ht="20.100000000000001" customHeight="1" x14ac:dyDescent="0.25">
      <c r="B125" s="1" t="s">
        <v>240</v>
      </c>
      <c r="C125" s="517"/>
      <c r="D125" s="47">
        <v>6485744.8300000001</v>
      </c>
      <c r="E125" s="47">
        <v>4560640.26</v>
      </c>
      <c r="F125" s="43">
        <f>D125-E125</f>
        <v>1925104.5700000003</v>
      </c>
    </row>
    <row r="126" spans="2:8" ht="20.100000000000001" hidden="1" customHeight="1" x14ac:dyDescent="0.25">
      <c r="B126" s="1" t="s">
        <v>241</v>
      </c>
      <c r="C126" s="517"/>
      <c r="F126" s="43">
        <f>D126-E126</f>
        <v>0</v>
      </c>
    </row>
    <row r="127" spans="2:8" ht="20.100000000000001" hidden="1" customHeight="1" x14ac:dyDescent="0.25">
      <c r="B127" s="1" t="s">
        <v>242</v>
      </c>
      <c r="C127" s="517"/>
      <c r="F127" s="43">
        <f>D127-E127</f>
        <v>0</v>
      </c>
    </row>
    <row r="128" spans="2:8" ht="20.100000000000001" hidden="1" customHeight="1" x14ac:dyDescent="0.25">
      <c r="B128" s="1" t="s">
        <v>243</v>
      </c>
      <c r="C128" s="517"/>
      <c r="F128" s="43">
        <f>D128-E128</f>
        <v>0</v>
      </c>
    </row>
    <row r="129" spans="2:8" ht="20.100000000000001" hidden="1" customHeight="1" x14ac:dyDescent="0.25">
      <c r="B129" s="1" t="s">
        <v>244</v>
      </c>
      <c r="C129" s="517"/>
      <c r="F129" s="43">
        <f t="shared" ref="F129" si="9">D129-E129</f>
        <v>0</v>
      </c>
    </row>
    <row r="130" spans="2:8" ht="20.100000000000001" hidden="1" customHeight="1" x14ac:dyDescent="0.25">
      <c r="B130" s="1" t="s">
        <v>245</v>
      </c>
      <c r="C130" s="517"/>
      <c r="F130" s="43">
        <f t="shared" si="8"/>
        <v>0</v>
      </c>
    </row>
    <row r="131" spans="2:8" ht="20.100000000000001" customHeight="1" x14ac:dyDescent="0.25">
      <c r="C131" s="303" t="s">
        <v>152</v>
      </c>
      <c r="E131" s="43"/>
      <c r="F131" s="43"/>
    </row>
    <row r="132" spans="2:8" s="518" customFormat="1" ht="24.75" customHeight="1" x14ac:dyDescent="0.2">
      <c r="B132" s="518" t="s">
        <v>246</v>
      </c>
      <c r="C132" s="519" t="s">
        <v>74</v>
      </c>
      <c r="D132" s="383">
        <f>SUM(D119:D131)</f>
        <v>230421053.81</v>
      </c>
      <c r="E132" s="384">
        <f>SUM(E119:E131)</f>
        <v>228202170.23999998</v>
      </c>
      <c r="F132" s="384">
        <f>SUM(F119:F131)</f>
        <v>2218883.5700000003</v>
      </c>
    </row>
    <row r="133" spans="2:8" ht="20.100000000000001" customHeight="1" x14ac:dyDescent="0.25">
      <c r="C133" s="517" t="s">
        <v>74</v>
      </c>
      <c r="E133" s="43"/>
      <c r="F133" s="43"/>
    </row>
    <row r="134" spans="2:8" ht="20.100000000000001" customHeight="1" x14ac:dyDescent="0.25">
      <c r="C134" s="517" t="s">
        <v>74</v>
      </c>
      <c r="D134" s="514"/>
      <c r="E134" s="43"/>
      <c r="F134" s="43"/>
    </row>
    <row r="135" spans="2:8" s="520" customFormat="1" ht="24.75" customHeight="1" x14ac:dyDescent="0.2">
      <c r="B135" s="518" t="s">
        <v>247</v>
      </c>
      <c r="C135" s="519">
        <v>22</v>
      </c>
      <c r="D135" s="381"/>
      <c r="E135" s="382"/>
      <c r="F135" s="382"/>
    </row>
    <row r="136" spans="2:8" s="63" customFormat="1" ht="20.100000000000001" customHeight="1" x14ac:dyDescent="0.25">
      <c r="B136" s="63" t="s">
        <v>248</v>
      </c>
      <c r="C136" s="517" t="s">
        <v>74</v>
      </c>
      <c r="D136" s="47">
        <v>53728.87</v>
      </c>
      <c r="E136" s="47">
        <v>52617.02</v>
      </c>
      <c r="F136" s="43">
        <f>D136-E136</f>
        <v>1111.8500000000058</v>
      </c>
      <c r="G136" s="43">
        <f>E136-F136</f>
        <v>51505.169999999991</v>
      </c>
    </row>
    <row r="137" spans="2:8" s="63" customFormat="1" ht="20.100000000000001" customHeight="1" x14ac:dyDescent="0.25">
      <c r="B137" s="1" t="s">
        <v>249</v>
      </c>
      <c r="C137" s="517" t="s">
        <v>74</v>
      </c>
      <c r="D137" s="43">
        <v>-62596.25</v>
      </c>
      <c r="E137" s="43">
        <v>-62596.25</v>
      </c>
      <c r="F137" s="43">
        <f>D137-E137</f>
        <v>0</v>
      </c>
      <c r="G137" s="43"/>
    </row>
    <row r="138" spans="2:8" ht="20.100000000000001" hidden="1" customHeight="1" x14ac:dyDescent="0.25">
      <c r="B138" s="1" t="s">
        <v>250</v>
      </c>
      <c r="C138" s="346"/>
      <c r="D138" s="43"/>
      <c r="E138" s="43"/>
      <c r="F138" s="43">
        <f>D138-E138</f>
        <v>0</v>
      </c>
      <c r="H138" s="325"/>
    </row>
    <row r="139" spans="2:8" ht="20.100000000000001" customHeight="1" x14ac:dyDescent="0.25">
      <c r="B139" s="18"/>
      <c r="C139" s="303" t="s">
        <v>152</v>
      </c>
      <c r="D139" s="43"/>
      <c r="E139" s="43"/>
      <c r="F139" s="43"/>
    </row>
    <row r="140" spans="2:8" s="518" customFormat="1" ht="24.75" customHeight="1" x14ac:dyDescent="0.2">
      <c r="B140" s="518" t="s">
        <v>251</v>
      </c>
      <c r="C140" s="519" t="s">
        <v>74</v>
      </c>
      <c r="D140" s="383">
        <f>SUM(D136:D139)</f>
        <v>-8867.3799999999974</v>
      </c>
      <c r="E140" s="384">
        <f>SUM(E136:E139)</f>
        <v>-9979.2300000000032</v>
      </c>
      <c r="F140" s="384">
        <f>SUM(F136:F139)</f>
        <v>1111.8500000000058</v>
      </c>
    </row>
    <row r="141" spans="2:8" ht="20.100000000000001" customHeight="1" x14ac:dyDescent="0.25">
      <c r="C141" s="517" t="s">
        <v>74</v>
      </c>
      <c r="D141" s="43"/>
      <c r="E141" s="43"/>
      <c r="F141" s="43"/>
    </row>
    <row r="142" spans="2:8" x14ac:dyDescent="0.25">
      <c r="C142" s="517"/>
      <c r="D142" s="310"/>
      <c r="E142" s="43"/>
      <c r="F142" s="43"/>
    </row>
    <row r="143" spans="2:8" x14ac:dyDescent="0.25">
      <c r="C143" s="517"/>
      <c r="E143" s="43"/>
      <c r="F143" s="43"/>
    </row>
    <row r="144" spans="2:8" x14ac:dyDescent="0.25">
      <c r="C144" s="517"/>
      <c r="D144" s="43"/>
      <c r="E144" s="43"/>
      <c r="F144" s="43"/>
    </row>
    <row r="145" spans="3:6" x14ac:dyDescent="0.25">
      <c r="C145" s="517"/>
      <c r="D145" s="43"/>
      <c r="E145" s="43"/>
      <c r="F145" s="43"/>
    </row>
    <row r="146" spans="3:6" x14ac:dyDescent="0.25">
      <c r="C146" s="517"/>
      <c r="D146" s="43"/>
      <c r="E146" s="43"/>
      <c r="F146" s="43"/>
    </row>
    <row r="147" spans="3:6" x14ac:dyDescent="0.25">
      <c r="C147" s="517"/>
      <c r="D147" s="43"/>
      <c r="E147" s="43"/>
      <c r="F147" s="43"/>
    </row>
    <row r="148" spans="3:6" x14ac:dyDescent="0.25">
      <c r="C148" s="517"/>
      <c r="D148" s="43"/>
      <c r="E148" s="43"/>
      <c r="F148" s="43"/>
    </row>
    <row r="149" spans="3:6" x14ac:dyDescent="0.25">
      <c r="C149" s="517"/>
      <c r="D149" s="43"/>
      <c r="E149" s="43"/>
      <c r="F149" s="43"/>
    </row>
    <row r="150" spans="3:6" x14ac:dyDescent="0.25">
      <c r="C150" s="517"/>
      <c r="D150" s="43"/>
      <c r="E150" s="43"/>
      <c r="F150" s="43"/>
    </row>
    <row r="151" spans="3:6" x14ac:dyDescent="0.25">
      <c r="C151" s="517"/>
      <c r="D151" s="43"/>
      <c r="E151" s="43"/>
      <c r="F151" s="43"/>
    </row>
    <row r="152" spans="3:6" x14ac:dyDescent="0.25">
      <c r="C152" s="517"/>
      <c r="D152" s="43"/>
      <c r="E152" s="43"/>
      <c r="F152" s="43"/>
    </row>
    <row r="153" spans="3:6" x14ac:dyDescent="0.25">
      <c r="C153" s="517"/>
      <c r="D153" s="43"/>
      <c r="E153" s="43"/>
      <c r="F153" s="43"/>
    </row>
    <row r="154" spans="3:6" x14ac:dyDescent="0.25">
      <c r="C154" s="517"/>
      <c r="D154" s="43"/>
      <c r="E154" s="43"/>
      <c r="F154" s="43"/>
    </row>
    <row r="155" spans="3:6" x14ac:dyDescent="0.25">
      <c r="C155" s="517"/>
      <c r="D155" s="43"/>
      <c r="E155" s="43"/>
      <c r="F155" s="43"/>
    </row>
    <row r="156" spans="3:6" x14ac:dyDescent="0.25">
      <c r="C156" s="517"/>
      <c r="D156" s="43"/>
      <c r="E156" s="43"/>
      <c r="F156" s="43"/>
    </row>
    <row r="157" spans="3:6" x14ac:dyDescent="0.25">
      <c r="C157" s="517"/>
      <c r="D157" s="43"/>
      <c r="E157" s="43"/>
      <c r="F157" s="43"/>
    </row>
    <row r="158" spans="3:6" x14ac:dyDescent="0.25">
      <c r="C158" s="517"/>
      <c r="D158" s="43"/>
      <c r="E158" s="43"/>
      <c r="F158" s="43"/>
    </row>
    <row r="159" spans="3:6" x14ac:dyDescent="0.25">
      <c r="C159" s="517"/>
      <c r="D159" s="43"/>
      <c r="E159" s="43"/>
      <c r="F159" s="43"/>
    </row>
    <row r="160" spans="3:6" x14ac:dyDescent="0.25">
      <c r="C160" s="517"/>
      <c r="D160" s="43"/>
      <c r="E160" s="43"/>
      <c r="F160" s="43"/>
    </row>
    <row r="161" spans="3:6" x14ac:dyDescent="0.25">
      <c r="C161" s="517"/>
      <c r="D161" s="43"/>
      <c r="E161" s="43"/>
      <c r="F161" s="43"/>
    </row>
    <row r="162" spans="3:6" x14ac:dyDescent="0.25">
      <c r="C162" s="517"/>
      <c r="D162" s="43"/>
      <c r="E162" s="43"/>
      <c r="F162" s="43"/>
    </row>
    <row r="163" spans="3:6" x14ac:dyDescent="0.25">
      <c r="C163" s="517"/>
      <c r="D163" s="43"/>
      <c r="E163" s="43"/>
      <c r="F163" s="43"/>
    </row>
    <row r="164" spans="3:6" x14ac:dyDescent="0.25">
      <c r="C164" s="517"/>
      <c r="D164" s="43"/>
      <c r="E164" s="43"/>
      <c r="F164" s="43"/>
    </row>
    <row r="165" spans="3:6" x14ac:dyDescent="0.25">
      <c r="C165" s="517"/>
      <c r="D165" s="43"/>
      <c r="E165" s="43"/>
      <c r="F165" s="43"/>
    </row>
    <row r="166" spans="3:6" x14ac:dyDescent="0.25">
      <c r="C166" s="517"/>
      <c r="D166" s="43"/>
      <c r="E166" s="43"/>
      <c r="F166" s="43"/>
    </row>
    <row r="167" spans="3:6" x14ac:dyDescent="0.25">
      <c r="C167" s="517"/>
      <c r="D167" s="43"/>
      <c r="E167" s="43"/>
      <c r="F167" s="43"/>
    </row>
    <row r="168" spans="3:6" x14ac:dyDescent="0.25">
      <c r="C168" s="517"/>
      <c r="D168" s="43"/>
      <c r="E168" s="43"/>
      <c r="F168" s="43"/>
    </row>
    <row r="169" spans="3:6" x14ac:dyDescent="0.25">
      <c r="C169" s="517"/>
      <c r="D169" s="43"/>
      <c r="E169" s="43"/>
      <c r="F169" s="43"/>
    </row>
    <row r="170" spans="3:6" x14ac:dyDescent="0.25">
      <c r="C170" s="517"/>
      <c r="D170" s="43"/>
      <c r="E170" s="43"/>
      <c r="F170" s="43"/>
    </row>
    <row r="171" spans="3:6" x14ac:dyDescent="0.25">
      <c r="C171" s="517"/>
      <c r="D171" s="43"/>
      <c r="E171" s="43"/>
      <c r="F171" s="43"/>
    </row>
    <row r="172" spans="3:6" x14ac:dyDescent="0.25">
      <c r="C172" s="517"/>
      <c r="D172" s="43"/>
      <c r="E172" s="43"/>
      <c r="F172" s="43"/>
    </row>
    <row r="173" spans="3:6" x14ac:dyDescent="0.25">
      <c r="C173" s="517"/>
      <c r="D173" s="43"/>
      <c r="E173" s="43"/>
      <c r="F173" s="43"/>
    </row>
    <row r="174" spans="3:6" x14ac:dyDescent="0.25">
      <c r="C174" s="517"/>
      <c r="D174" s="43"/>
      <c r="E174" s="43"/>
      <c r="F174" s="43"/>
    </row>
    <row r="175" spans="3:6" x14ac:dyDescent="0.25">
      <c r="C175" s="517"/>
      <c r="D175" s="43"/>
      <c r="E175" s="43"/>
      <c r="F175" s="43"/>
    </row>
    <row r="176" spans="3:6" x14ac:dyDescent="0.25">
      <c r="C176" s="517"/>
      <c r="D176" s="43"/>
      <c r="E176" s="43"/>
      <c r="F176" s="43"/>
    </row>
    <row r="177" spans="3:11" x14ac:dyDescent="0.25">
      <c r="C177" s="517"/>
      <c r="D177" s="43"/>
      <c r="E177" s="43"/>
      <c r="F177" s="43"/>
    </row>
    <row r="178" spans="3:11" x14ac:dyDescent="0.25">
      <c r="C178" s="517"/>
      <c r="D178" s="43"/>
      <c r="E178" s="43"/>
      <c r="F178" s="43"/>
    </row>
    <row r="179" spans="3:11" x14ac:dyDescent="0.25">
      <c r="C179" s="517"/>
      <c r="D179" s="43"/>
      <c r="E179" s="43"/>
      <c r="F179" s="43"/>
    </row>
    <row r="180" spans="3:11" x14ac:dyDescent="0.25">
      <c r="C180" s="517"/>
      <c r="D180" s="43"/>
      <c r="E180" s="43"/>
      <c r="F180" s="43"/>
    </row>
    <row r="181" spans="3:11" x14ac:dyDescent="0.25">
      <c r="C181" s="517"/>
      <c r="D181" s="43"/>
      <c r="E181" s="43"/>
      <c r="F181" s="43"/>
    </row>
    <row r="182" spans="3:11" x14ac:dyDescent="0.25">
      <c r="C182" s="517"/>
      <c r="D182" s="43"/>
      <c r="E182" s="43"/>
      <c r="F182" s="43"/>
    </row>
    <row r="183" spans="3:11" x14ac:dyDescent="0.25">
      <c r="C183" s="517"/>
      <c r="D183" s="43"/>
      <c r="E183" s="43"/>
      <c r="F183" s="43"/>
    </row>
    <row r="184" spans="3:11" x14ac:dyDescent="0.25">
      <c r="C184" s="517"/>
      <c r="D184" s="43"/>
      <c r="E184" s="43"/>
      <c r="F184" s="43"/>
    </row>
    <row r="185" spans="3:11" x14ac:dyDescent="0.25">
      <c r="C185" s="517"/>
      <c r="D185" s="43"/>
      <c r="E185" s="43"/>
      <c r="F185" s="43"/>
    </row>
    <row r="186" spans="3:11" x14ac:dyDescent="0.25">
      <c r="C186" s="517"/>
      <c r="D186" s="43"/>
      <c r="E186" s="43"/>
      <c r="F186" s="43"/>
    </row>
    <row r="187" spans="3:11" x14ac:dyDescent="0.25">
      <c r="C187" s="517"/>
      <c r="D187" s="43"/>
      <c r="E187" s="43"/>
      <c r="F187" s="43"/>
      <c r="J187" s="28"/>
    </row>
    <row r="188" spans="3:11" x14ac:dyDescent="0.25">
      <c r="C188" s="517"/>
      <c r="D188" s="43"/>
      <c r="E188" s="43"/>
      <c r="F188" s="43"/>
    </row>
    <row r="189" spans="3:11" x14ac:dyDescent="0.25">
      <c r="C189" s="517"/>
      <c r="D189" s="43"/>
      <c r="E189" s="43"/>
      <c r="F189" s="43"/>
      <c r="K189" s="28"/>
    </row>
    <row r="190" spans="3:11" x14ac:dyDescent="0.25">
      <c r="C190" s="517"/>
      <c r="D190" s="43"/>
      <c r="E190" s="43"/>
      <c r="F190" s="43"/>
    </row>
    <row r="191" spans="3:11" x14ac:dyDescent="0.25">
      <c r="C191" s="517"/>
      <c r="D191" s="43"/>
      <c r="E191" s="43"/>
      <c r="F191" s="43"/>
    </row>
    <row r="192" spans="3:11" x14ac:dyDescent="0.25">
      <c r="C192" s="517"/>
      <c r="D192" s="43"/>
      <c r="E192" s="43"/>
      <c r="F192" s="43"/>
    </row>
    <row r="193" spans="3:14" x14ac:dyDescent="0.25">
      <c r="C193" s="517"/>
      <c r="D193" s="43"/>
      <c r="E193" s="43"/>
      <c r="F193" s="43"/>
      <c r="J193" s="28"/>
    </row>
    <row r="194" spans="3:14" x14ac:dyDescent="0.25">
      <c r="C194" s="517"/>
      <c r="D194" s="43"/>
      <c r="E194" s="43"/>
      <c r="F194" s="43"/>
    </row>
    <row r="195" spans="3:14" x14ac:dyDescent="0.25">
      <c r="C195" s="517"/>
      <c r="D195" s="43"/>
      <c r="E195" s="43"/>
      <c r="F195" s="43"/>
      <c r="K195" s="28"/>
    </row>
    <row r="196" spans="3:14" x14ac:dyDescent="0.25">
      <c r="C196" s="517"/>
      <c r="D196" s="43"/>
      <c r="E196" s="43"/>
      <c r="F196" s="43"/>
      <c r="K196" s="85"/>
    </row>
    <row r="197" spans="3:14" x14ac:dyDescent="0.25">
      <c r="C197" s="517"/>
      <c r="D197" s="43"/>
      <c r="E197" s="43"/>
      <c r="F197" s="43"/>
    </row>
    <row r="199" spans="3:14" x14ac:dyDescent="0.25">
      <c r="M199" s="510"/>
      <c r="N199" s="510"/>
    </row>
    <row r="200" spans="3:14" x14ac:dyDescent="0.25">
      <c r="L200" s="85"/>
      <c r="M200" s="510"/>
      <c r="N200" s="510"/>
    </row>
    <row r="201" spans="3:14" x14ac:dyDescent="0.25">
      <c r="L201" s="85"/>
      <c r="M201" s="45"/>
      <c r="N201" s="45"/>
    </row>
    <row r="202" spans="3:14" x14ac:dyDescent="0.25">
      <c r="L202" s="85"/>
      <c r="M202" s="45"/>
      <c r="N202" s="45"/>
    </row>
    <row r="203" spans="3:14" x14ac:dyDescent="0.25">
      <c r="L203" s="85"/>
      <c r="M203" s="45"/>
      <c r="N203" s="45"/>
    </row>
    <row r="204" spans="3:14" x14ac:dyDescent="0.25">
      <c r="L204" s="85"/>
      <c r="M204" s="45"/>
      <c r="N204" s="45"/>
    </row>
    <row r="205" spans="3:14" x14ac:dyDescent="0.25">
      <c r="L205" s="85"/>
    </row>
    <row r="206" spans="3:14" x14ac:dyDescent="0.25">
      <c r="L206" s="85"/>
    </row>
    <row r="207" spans="3:14" x14ac:dyDescent="0.25">
      <c r="L207" s="85"/>
    </row>
    <row r="208" spans="3:14" x14ac:dyDescent="0.25">
      <c r="L208" s="85"/>
    </row>
  </sheetData>
  <pageMargins left="0.70866141732283472" right="0.70866141732283472" top="0.74803149606299213" bottom="0.47244094488188981" header="0.31496062992125984" footer="0.31496062992125984"/>
  <pageSetup scale="50" firstPageNumber="4" fitToHeight="2" orientation="portrait" useFirstPageNumber="1" r:id="rId1"/>
  <rowBreaks count="1" manualBreakCount="1">
    <brk id="68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H34"/>
  <sheetViews>
    <sheetView topLeftCell="A7" zoomScale="90" zoomScaleNormal="90" workbookViewId="0">
      <selection activeCell="H33" sqref="H33"/>
    </sheetView>
  </sheetViews>
  <sheetFormatPr baseColWidth="10" defaultColWidth="11.5703125" defaultRowHeight="24.75" customHeight="1" x14ac:dyDescent="0.25"/>
  <cols>
    <col min="1" max="1" width="7.5703125" style="1" customWidth="1"/>
    <col min="2" max="2" width="43.28515625" style="1" customWidth="1"/>
    <col min="3" max="4" width="21.8554687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36.28515625" style="1" customWidth="1"/>
    <col min="9" max="9" width="8.42578125" style="1" bestFit="1" customWidth="1"/>
    <col min="10" max="10" width="12.85546875" style="1" customWidth="1"/>
    <col min="11" max="11" width="16.5703125" style="1" bestFit="1" customWidth="1"/>
    <col min="12" max="16384" width="11.5703125" style="1"/>
  </cols>
  <sheetData>
    <row r="3" spans="2:8" ht="24.75" customHeight="1" x14ac:dyDescent="0.25">
      <c r="B3" s="625" t="s">
        <v>267</v>
      </c>
      <c r="C3" s="625"/>
      <c r="D3" s="625"/>
      <c r="E3" s="64"/>
    </row>
    <row r="4" spans="2:8" ht="24.75" customHeight="1" x14ac:dyDescent="0.25">
      <c r="B4" s="625" t="s">
        <v>268</v>
      </c>
      <c r="C4" s="625"/>
      <c r="D4" s="625"/>
      <c r="E4" s="64"/>
    </row>
    <row r="5" spans="2:8" ht="24.75" customHeight="1" x14ac:dyDescent="0.25">
      <c r="B5" s="625" t="s">
        <v>269</v>
      </c>
      <c r="C5" s="625"/>
      <c r="D5" s="625"/>
      <c r="E5" s="64"/>
    </row>
    <row r="6" spans="2:8" ht="24.75" customHeight="1" x14ac:dyDescent="0.25">
      <c r="B6" s="635">
        <v>45808</v>
      </c>
      <c r="C6" s="635"/>
      <c r="D6" s="635"/>
      <c r="E6" s="64"/>
    </row>
    <row r="7" spans="2:8" ht="24.75" customHeight="1" thickBot="1" x14ac:dyDescent="0.3">
      <c r="B7" s="66"/>
      <c r="C7" s="66"/>
      <c r="D7" s="66"/>
      <c r="E7" s="67"/>
    </row>
    <row r="8" spans="2:8" ht="24.75" customHeight="1" thickBot="1" x14ac:dyDescent="0.3">
      <c r="B8" s="68" t="s">
        <v>254</v>
      </c>
      <c r="C8" s="69" t="s">
        <v>270</v>
      </c>
      <c r="D8" s="70" t="s">
        <v>271</v>
      </c>
      <c r="G8" s="538"/>
    </row>
    <row r="9" spans="2:8" ht="15.75" hidden="1" customHeight="1" x14ac:dyDescent="0.25">
      <c r="B9" s="71" t="s">
        <v>272</v>
      </c>
      <c r="C9" s="58"/>
      <c r="D9" s="72">
        <v>0</v>
      </c>
    </row>
    <row r="10" spans="2:8" ht="24.75" customHeight="1" x14ac:dyDescent="0.25">
      <c r="B10" s="71" t="s">
        <v>273</v>
      </c>
      <c r="C10" s="58"/>
      <c r="D10" s="409">
        <v>200000</v>
      </c>
    </row>
    <row r="11" spans="2:8" ht="24.75" customHeight="1" x14ac:dyDescent="0.25">
      <c r="B11" s="73" t="s">
        <v>274</v>
      </c>
      <c r="C11" s="74"/>
      <c r="D11" s="410">
        <v>421186687.64999998</v>
      </c>
      <c r="G11" s="488"/>
      <c r="H11" s="408"/>
    </row>
    <row r="12" spans="2:8" ht="24.75" customHeight="1" x14ac:dyDescent="0.25">
      <c r="B12" s="73" t="s">
        <v>275</v>
      </c>
      <c r="C12" s="74"/>
      <c r="D12" s="410">
        <v>46681.34</v>
      </c>
    </row>
    <row r="13" spans="2:8" ht="24.75" customHeight="1" x14ac:dyDescent="0.25">
      <c r="B13" s="73" t="s">
        <v>276</v>
      </c>
      <c r="C13" s="76">
        <v>58.4</v>
      </c>
      <c r="D13" s="571">
        <v>17542.84</v>
      </c>
      <c r="G13" s="18"/>
    </row>
    <row r="14" spans="2:8" ht="24.75" customHeight="1" x14ac:dyDescent="0.4">
      <c r="B14" s="73" t="s">
        <v>277</v>
      </c>
      <c r="C14" s="74"/>
      <c r="D14" s="572">
        <f>+D13*57.4</f>
        <v>1006959.0159999999</v>
      </c>
      <c r="G14" s="18"/>
    </row>
    <row r="15" spans="2:8" ht="24.75" customHeight="1" x14ac:dyDescent="0.4">
      <c r="B15" s="78" t="s">
        <v>257</v>
      </c>
      <c r="C15" s="79"/>
      <c r="D15" s="158">
        <f>SUM(D9:D14)</f>
        <v>422457870.8459999</v>
      </c>
      <c r="G15" s="2"/>
    </row>
    <row r="16" spans="2:8" ht="24.75" customHeight="1" thickBot="1" x14ac:dyDescent="0.3">
      <c r="B16" s="81"/>
      <c r="C16" s="82"/>
      <c r="D16" s="403"/>
    </row>
    <row r="17" spans="3:5" ht="24.75" customHeight="1" x14ac:dyDescent="0.25">
      <c r="D17" s="394"/>
    </row>
    <row r="18" spans="3:5" ht="24.75" hidden="1" customHeight="1" x14ac:dyDescent="0.25">
      <c r="D18" s="395"/>
    </row>
    <row r="19" spans="3:5" ht="24.75" hidden="1" customHeight="1" x14ac:dyDescent="0.25">
      <c r="C19" s="632" t="s">
        <v>278</v>
      </c>
      <c r="D19" s="394">
        <f>+D13</f>
        <v>17542.84</v>
      </c>
    </row>
    <row r="20" spans="3:5" ht="24.75" hidden="1" customHeight="1" x14ac:dyDescent="0.25">
      <c r="C20" s="633"/>
      <c r="D20" s="286" t="s">
        <v>279</v>
      </c>
    </row>
    <row r="21" spans="3:5" ht="24.75" hidden="1" customHeight="1" x14ac:dyDescent="0.25">
      <c r="C21" s="634"/>
      <c r="D21" s="386">
        <f>+D19*57.5</f>
        <v>1008713.3</v>
      </c>
    </row>
    <row r="22" spans="3:5" ht="24.75" hidden="1" customHeight="1" x14ac:dyDescent="0.25">
      <c r="D22" s="396"/>
    </row>
    <row r="23" spans="3:5" ht="24.75" hidden="1" customHeight="1" x14ac:dyDescent="0.25">
      <c r="C23" s="632" t="s">
        <v>280</v>
      </c>
      <c r="D23" s="387">
        <v>14152.03</v>
      </c>
    </row>
    <row r="24" spans="3:5" ht="24.75" hidden="1" customHeight="1" x14ac:dyDescent="0.4">
      <c r="C24" s="633"/>
      <c r="D24" s="397">
        <v>798174.51</v>
      </c>
    </row>
    <row r="25" spans="3:5" ht="24.75" hidden="1" customHeight="1" x14ac:dyDescent="0.25">
      <c r="C25" s="634"/>
      <c r="D25" s="394">
        <f>SUM(D23:D24)</f>
        <v>812326.54</v>
      </c>
    </row>
    <row r="26" spans="3:5" ht="24.75" hidden="1" customHeight="1" x14ac:dyDescent="0.25">
      <c r="D26" s="396"/>
    </row>
    <row r="27" spans="3:5" ht="24.75" hidden="1" customHeight="1" x14ac:dyDescent="0.25">
      <c r="C27" s="632" t="s">
        <v>281</v>
      </c>
      <c r="D27" s="394">
        <f>+D21</f>
        <v>1008713.3</v>
      </c>
    </row>
    <row r="28" spans="3:5" ht="24.75" hidden="1" customHeight="1" x14ac:dyDescent="0.25">
      <c r="C28" s="633"/>
      <c r="D28" s="394">
        <f>-D25</f>
        <v>-812326.54</v>
      </c>
    </row>
    <row r="29" spans="3:5" ht="24.75" hidden="1" customHeight="1" thickBot="1" x14ac:dyDescent="0.3">
      <c r="C29" s="634"/>
      <c r="D29" s="398">
        <f>SUM(D27:D28)</f>
        <v>196386.76</v>
      </c>
    </row>
    <row r="30" spans="3:5" ht="24.75" hidden="1" customHeight="1" thickTop="1" x14ac:dyDescent="0.25">
      <c r="D30" s="396"/>
      <c r="E30" s="47"/>
    </row>
    <row r="31" spans="3:5" ht="24.75" customHeight="1" x14ac:dyDescent="0.25">
      <c r="D31" s="394"/>
    </row>
    <row r="32" spans="3:5" ht="24.75" customHeight="1" x14ac:dyDescent="0.25">
      <c r="D32" s="386"/>
    </row>
    <row r="33" spans="4:4" ht="24.75" customHeight="1" x14ac:dyDescent="0.25">
      <c r="D33" s="18"/>
    </row>
    <row r="34" spans="4:4" ht="24.75" customHeight="1" x14ac:dyDescent="0.25">
      <c r="D34" s="18"/>
    </row>
  </sheetData>
  <mergeCells count="7">
    <mergeCell ref="C23:C25"/>
    <mergeCell ref="C27:C29"/>
    <mergeCell ref="B3:D3"/>
    <mergeCell ref="B4:D4"/>
    <mergeCell ref="B5:D5"/>
    <mergeCell ref="B6:D6"/>
    <mergeCell ref="C19:C21"/>
  </mergeCells>
  <pageMargins left="0.59055118110236227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11"/>
  <sheetViews>
    <sheetView topLeftCell="A4" zoomScale="90" zoomScaleNormal="90" zoomScaleSheetLayoutView="90" workbookViewId="0">
      <selection activeCell="H33" sqref="H33"/>
    </sheetView>
  </sheetViews>
  <sheetFormatPr baseColWidth="10" defaultColWidth="11.5703125" defaultRowHeight="24.75" customHeight="1" x14ac:dyDescent="0.25"/>
  <cols>
    <col min="1" max="1" width="5.57031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6.5703125" style="1" bestFit="1" customWidth="1"/>
    <col min="12" max="16384" width="11.5703125" style="1"/>
  </cols>
  <sheetData>
    <row r="2" spans="2:10" ht="24.75" customHeight="1" x14ac:dyDescent="0.25">
      <c r="E2" s="85"/>
    </row>
    <row r="3" spans="2:10" ht="24.75" customHeight="1" x14ac:dyDescent="0.25">
      <c r="B3" s="625" t="s">
        <v>282</v>
      </c>
      <c r="C3" s="625"/>
      <c r="D3" s="625"/>
      <c r="E3" s="625"/>
    </row>
    <row r="4" spans="2:10" ht="24.75" customHeight="1" x14ac:dyDescent="0.25">
      <c r="B4" s="625" t="s">
        <v>268</v>
      </c>
      <c r="C4" s="625"/>
      <c r="D4" s="625"/>
      <c r="E4" s="625"/>
    </row>
    <row r="5" spans="2:10" ht="24.75" customHeight="1" x14ac:dyDescent="0.25">
      <c r="B5" s="625" t="s">
        <v>283</v>
      </c>
      <c r="C5" s="625"/>
      <c r="D5" s="625"/>
      <c r="E5" s="625"/>
    </row>
    <row r="6" spans="2:10" ht="24.75" customHeight="1" x14ac:dyDescent="0.25">
      <c r="B6" s="635">
        <v>45808</v>
      </c>
      <c r="C6" s="635"/>
      <c r="D6" s="635"/>
      <c r="E6" s="635"/>
    </row>
    <row r="7" spans="2:10" ht="24.75" customHeight="1" thickBot="1" x14ac:dyDescent="0.3">
      <c r="B7" s="66"/>
      <c r="C7" s="66"/>
      <c r="D7" s="66"/>
      <c r="E7" s="45"/>
    </row>
    <row r="8" spans="2:10" ht="24.75" customHeight="1" thickBot="1" x14ac:dyDescent="0.3">
      <c r="B8" s="68" t="s">
        <v>254</v>
      </c>
      <c r="C8" s="69" t="s">
        <v>284</v>
      </c>
      <c r="D8" s="69" t="s">
        <v>270</v>
      </c>
      <c r="E8" s="70" t="s">
        <v>271</v>
      </c>
    </row>
    <row r="9" spans="2:10" ht="24.75" hidden="1" customHeight="1" x14ac:dyDescent="0.25">
      <c r="B9" s="86" t="s">
        <v>285</v>
      </c>
      <c r="C9" s="87">
        <v>0</v>
      </c>
      <c r="D9" s="87">
        <v>0</v>
      </c>
      <c r="E9" s="399"/>
      <c r="G9" s="18"/>
    </row>
    <row r="10" spans="2:10" ht="24.75" customHeight="1" x14ac:dyDescent="0.25">
      <c r="B10" s="86" t="s">
        <v>286</v>
      </c>
      <c r="C10" s="87"/>
      <c r="D10" s="87"/>
      <c r="E10" s="399">
        <v>548633114.46000004</v>
      </c>
      <c r="G10" s="18"/>
    </row>
    <row r="11" spans="2:10" ht="24.75" customHeight="1" x14ac:dyDescent="0.4">
      <c r="B11" s="86" t="s">
        <v>737</v>
      </c>
      <c r="C11" s="87"/>
      <c r="D11" s="87"/>
      <c r="E11" s="400">
        <v>621807948.22000003</v>
      </c>
      <c r="G11" s="18"/>
    </row>
    <row r="12" spans="2:10" ht="25.5" customHeight="1" x14ac:dyDescent="0.4">
      <c r="B12" s="78" t="s">
        <v>287</v>
      </c>
      <c r="C12" s="88" t="e">
        <f>SUM(#REF!)</f>
        <v>#REF!</v>
      </c>
      <c r="D12" s="89"/>
      <c r="E12" s="401">
        <f>SUM(E10:E11)</f>
        <v>1170441062.6800001</v>
      </c>
      <c r="G12" s="90"/>
      <c r="H12" s="532"/>
    </row>
    <row r="13" spans="2:10" ht="3.75" customHeight="1" thickBot="1" x14ac:dyDescent="0.3">
      <c r="B13" s="91"/>
      <c r="C13" s="92"/>
      <c r="D13" s="92"/>
      <c r="E13" s="402"/>
      <c r="G13" s="2"/>
    </row>
    <row r="14" spans="2:10" ht="24.75" customHeight="1" x14ac:dyDescent="0.25">
      <c r="B14" s="15"/>
      <c r="C14" s="93"/>
      <c r="D14" s="93"/>
      <c r="G14" s="2"/>
      <c r="H14" s="18"/>
      <c r="J14" s="18"/>
    </row>
    <row r="15" spans="2:10" ht="24.75" customHeight="1" x14ac:dyDescent="0.25">
      <c r="G15" s="18"/>
      <c r="H15" s="18"/>
      <c r="J15" s="18"/>
    </row>
    <row r="16" spans="2:10" ht="24.75" customHeight="1" x14ac:dyDescent="0.25">
      <c r="G16" s="18"/>
      <c r="H16" s="18"/>
    </row>
    <row r="17" spans="3:8" ht="24.75" customHeight="1" x14ac:dyDescent="0.25">
      <c r="C17" s="2"/>
      <c r="D17" s="94"/>
      <c r="E17" s="326"/>
      <c r="G17" s="18"/>
      <c r="H17" s="18"/>
    </row>
    <row r="18" spans="3:8" ht="24.75" hidden="1" customHeight="1" x14ac:dyDescent="0.4">
      <c r="C18" s="2"/>
      <c r="D18" s="95"/>
      <c r="E18" s="96"/>
      <c r="G18" s="18"/>
      <c r="H18" s="18"/>
    </row>
    <row r="19" spans="3:8" ht="24.75" customHeight="1" x14ac:dyDescent="0.4">
      <c r="C19" s="19"/>
      <c r="D19" s="26"/>
      <c r="E19" s="90"/>
      <c r="G19" s="18"/>
      <c r="H19" s="18"/>
    </row>
    <row r="20" spans="3:8" ht="24.75" customHeight="1" x14ac:dyDescent="0.25">
      <c r="C20" s="3"/>
      <c r="D20" s="26"/>
      <c r="E20" s="52"/>
      <c r="H20" s="18"/>
    </row>
    <row r="21" spans="3:8" ht="24.75" customHeight="1" x14ac:dyDescent="0.25">
      <c r="C21" s="3"/>
      <c r="D21" s="26"/>
      <c r="E21" s="26"/>
      <c r="H21" s="18"/>
    </row>
    <row r="22" spans="3:8" ht="24.75" customHeight="1" x14ac:dyDescent="0.25">
      <c r="C22" s="3"/>
      <c r="D22" s="3"/>
      <c r="E22" s="3"/>
      <c r="H22" s="18"/>
    </row>
    <row r="23" spans="3:8" ht="24.75" customHeight="1" x14ac:dyDescent="0.25">
      <c r="C23" s="3"/>
      <c r="D23" s="3"/>
      <c r="E23" s="3"/>
      <c r="H23" s="18"/>
    </row>
    <row r="24" spans="3:8" ht="24.75" customHeight="1" x14ac:dyDescent="0.25">
      <c r="C24" s="3"/>
      <c r="D24" s="3"/>
      <c r="E24" s="3"/>
      <c r="H24" s="18"/>
    </row>
    <row r="25" spans="3:8" ht="24.75" customHeight="1" x14ac:dyDescent="0.25">
      <c r="C25" s="3"/>
      <c r="D25" s="3"/>
      <c r="E25" s="3"/>
      <c r="H25" s="18"/>
    </row>
    <row r="26" spans="3:8" ht="24.75" customHeight="1" x14ac:dyDescent="0.25">
      <c r="C26" s="3"/>
      <c r="D26" s="3"/>
      <c r="E26" s="3"/>
      <c r="H26" s="18"/>
    </row>
    <row r="27" spans="3:8" ht="24.75" customHeight="1" x14ac:dyDescent="0.25">
      <c r="C27" s="3"/>
      <c r="D27" s="3"/>
      <c r="E27" s="3"/>
      <c r="H27" s="18"/>
    </row>
    <row r="28" spans="3:8" ht="24.75" customHeight="1" x14ac:dyDescent="0.25">
      <c r="C28" s="3"/>
      <c r="D28" s="3"/>
      <c r="E28" s="3"/>
      <c r="H28" s="18"/>
    </row>
    <row r="29" spans="3:8" ht="24.75" customHeight="1" x14ac:dyDescent="0.25">
      <c r="C29" s="3"/>
      <c r="D29" s="3"/>
      <c r="E29" s="3"/>
      <c r="H29" s="18"/>
    </row>
    <row r="30" spans="3:8" ht="24.75" customHeight="1" x14ac:dyDescent="0.25">
      <c r="C30" s="3"/>
      <c r="D30" s="3"/>
      <c r="E30" s="3"/>
      <c r="H30" s="18"/>
    </row>
    <row r="31" spans="3:8" ht="24.75" customHeight="1" x14ac:dyDescent="0.25">
      <c r="C31" s="3"/>
      <c r="D31" s="3"/>
      <c r="E31" s="3"/>
      <c r="H31" s="18"/>
    </row>
    <row r="32" spans="3:8" ht="24.75" customHeight="1" x14ac:dyDescent="0.25">
      <c r="C32" s="3"/>
      <c r="D32" s="3"/>
      <c r="E32" s="3"/>
    </row>
    <row r="33" spans="3:5" ht="24.75" customHeight="1" x14ac:dyDescent="0.25">
      <c r="C33" s="3"/>
      <c r="D33" s="3"/>
      <c r="E33" s="3"/>
    </row>
    <row r="34" spans="3:5" ht="24.75" customHeight="1" x14ac:dyDescent="0.25">
      <c r="C34" s="3"/>
      <c r="D34" s="3"/>
      <c r="E34" s="3"/>
    </row>
    <row r="35" spans="3:5" ht="24.75" customHeight="1" x14ac:dyDescent="0.25">
      <c r="C35" s="3"/>
      <c r="D35" s="3"/>
      <c r="E35" s="3"/>
    </row>
    <row r="36" spans="3:5" ht="24.75" customHeight="1" x14ac:dyDescent="0.25">
      <c r="C36" s="3"/>
      <c r="D36" s="3"/>
      <c r="E36" s="3"/>
    </row>
    <row r="37" spans="3:5" ht="24.75" customHeight="1" x14ac:dyDescent="0.25">
      <c r="C37" s="3"/>
      <c r="D37" s="3"/>
      <c r="E37" s="3"/>
    </row>
    <row r="38" spans="3:5" ht="24.75" customHeight="1" x14ac:dyDescent="0.25">
      <c r="C38" s="3"/>
      <c r="D38" s="3"/>
      <c r="E38" s="3"/>
    </row>
    <row r="39" spans="3:5" ht="24.75" customHeight="1" x14ac:dyDescent="0.25">
      <c r="C39" s="3"/>
      <c r="D39" s="3"/>
      <c r="E39" s="3"/>
    </row>
    <row r="40" spans="3:5" ht="24.75" customHeight="1" x14ac:dyDescent="0.25">
      <c r="C40" s="3"/>
      <c r="D40" s="3"/>
      <c r="E40" s="3"/>
    </row>
    <row r="41" spans="3:5" ht="24.75" customHeight="1" x14ac:dyDescent="0.25">
      <c r="C41" s="3"/>
      <c r="D41" s="3"/>
      <c r="E41" s="3"/>
    </row>
    <row r="42" spans="3:5" ht="24.75" customHeight="1" x14ac:dyDescent="0.25">
      <c r="C42" s="3"/>
      <c r="D42" s="3"/>
      <c r="E42" s="3"/>
    </row>
    <row r="43" spans="3:5" ht="24.75" customHeight="1" x14ac:dyDescent="0.25">
      <c r="C43" s="3"/>
      <c r="D43" s="3"/>
      <c r="E43" s="3"/>
    </row>
    <row r="44" spans="3:5" ht="24.75" customHeight="1" x14ac:dyDescent="0.25">
      <c r="C44" s="3"/>
      <c r="D44" s="3"/>
      <c r="E44" s="3"/>
    </row>
    <row r="45" spans="3:5" ht="24.75" customHeight="1" x14ac:dyDescent="0.25">
      <c r="C45" s="3"/>
      <c r="D45" s="3"/>
      <c r="E45" s="3"/>
    </row>
    <row r="46" spans="3:5" ht="24.75" customHeight="1" x14ac:dyDescent="0.25">
      <c r="C46" s="3"/>
      <c r="D46" s="3"/>
      <c r="E46" s="3"/>
    </row>
    <row r="47" spans="3:5" ht="24.75" customHeight="1" x14ac:dyDescent="0.25">
      <c r="C47" s="3"/>
      <c r="D47" s="3"/>
      <c r="E47" s="3"/>
    </row>
    <row r="48" spans="3:5" ht="24.75" customHeight="1" x14ac:dyDescent="0.25">
      <c r="C48" s="3"/>
      <c r="D48" s="3"/>
      <c r="E48" s="3"/>
    </row>
    <row r="49" spans="3:5" ht="24.75" customHeight="1" x14ac:dyDescent="0.25">
      <c r="C49" s="3"/>
      <c r="D49" s="3"/>
      <c r="E49" s="3"/>
    </row>
    <row r="50" spans="3:5" ht="24.75" customHeight="1" x14ac:dyDescent="0.25">
      <c r="C50" s="3"/>
      <c r="D50" s="3"/>
      <c r="E50" s="3"/>
    </row>
    <row r="51" spans="3:5" ht="24.75" customHeight="1" x14ac:dyDescent="0.25">
      <c r="C51" s="3"/>
      <c r="D51" s="3"/>
      <c r="E51" s="3"/>
    </row>
    <row r="52" spans="3:5" ht="24.75" customHeight="1" x14ac:dyDescent="0.25">
      <c r="C52" s="3"/>
      <c r="D52" s="3"/>
      <c r="E52" s="3"/>
    </row>
    <row r="53" spans="3:5" ht="24.75" customHeight="1" x14ac:dyDescent="0.25">
      <c r="C53" s="3"/>
      <c r="D53" s="3"/>
      <c r="E53" s="3"/>
    </row>
    <row r="54" spans="3:5" ht="24.75" customHeight="1" x14ac:dyDescent="0.25">
      <c r="C54" s="3"/>
      <c r="D54" s="3"/>
      <c r="E54" s="3"/>
    </row>
    <row r="55" spans="3:5" ht="24.75" customHeight="1" x14ac:dyDescent="0.25">
      <c r="C55" s="3"/>
      <c r="D55" s="3"/>
      <c r="E55" s="3"/>
    </row>
    <row r="56" spans="3:5" ht="24.75" customHeight="1" x14ac:dyDescent="0.25">
      <c r="C56" s="3"/>
      <c r="D56" s="3"/>
      <c r="E56" s="3"/>
    </row>
    <row r="57" spans="3:5" ht="24.75" customHeight="1" x14ac:dyDescent="0.25">
      <c r="C57" s="3"/>
      <c r="D57" s="3"/>
      <c r="E57" s="3"/>
    </row>
    <row r="58" spans="3:5" ht="24.75" customHeight="1" x14ac:dyDescent="0.25">
      <c r="C58" s="3"/>
      <c r="D58" s="3"/>
      <c r="E58" s="3"/>
    </row>
    <row r="59" spans="3:5" ht="24.75" customHeight="1" x14ac:dyDescent="0.25">
      <c r="C59" s="3"/>
      <c r="D59" s="3"/>
      <c r="E59" s="3"/>
    </row>
    <row r="60" spans="3:5" ht="24.75" customHeight="1" x14ac:dyDescent="0.25">
      <c r="C60" s="3"/>
      <c r="D60" s="3"/>
      <c r="E60" s="3"/>
    </row>
    <row r="61" spans="3:5" ht="24.75" customHeight="1" x14ac:dyDescent="0.25">
      <c r="C61" s="3"/>
      <c r="D61" s="3"/>
      <c r="E61" s="3"/>
    </row>
    <row r="62" spans="3:5" ht="24.75" customHeight="1" x14ac:dyDescent="0.25">
      <c r="C62" s="3"/>
      <c r="D62" s="3"/>
      <c r="E62" s="3"/>
    </row>
    <row r="63" spans="3:5" ht="24.75" customHeight="1" x14ac:dyDescent="0.25">
      <c r="C63" s="3"/>
      <c r="D63" s="3"/>
      <c r="E63" s="3"/>
    </row>
    <row r="64" spans="3:5" ht="24.75" customHeight="1" x14ac:dyDescent="0.25">
      <c r="C64" s="3"/>
      <c r="D64" s="3"/>
      <c r="E64" s="3"/>
    </row>
    <row r="65" spans="3:5" ht="24.75" customHeight="1" x14ac:dyDescent="0.25">
      <c r="C65" s="3"/>
      <c r="D65" s="3"/>
      <c r="E65" s="3"/>
    </row>
    <row r="66" spans="3:5" ht="24.75" customHeight="1" x14ac:dyDescent="0.25">
      <c r="C66" s="3"/>
      <c r="D66" s="3"/>
      <c r="E66" s="3"/>
    </row>
    <row r="67" spans="3:5" ht="24.75" customHeight="1" x14ac:dyDescent="0.25">
      <c r="C67" s="3"/>
      <c r="D67" s="3"/>
      <c r="E67" s="3"/>
    </row>
    <row r="68" spans="3:5" ht="24.75" customHeight="1" x14ac:dyDescent="0.25">
      <c r="C68" s="3"/>
      <c r="D68" s="3"/>
      <c r="E68" s="3"/>
    </row>
    <row r="69" spans="3:5" ht="24.75" customHeight="1" x14ac:dyDescent="0.25">
      <c r="C69" s="3"/>
      <c r="D69" s="3"/>
      <c r="E69" s="3"/>
    </row>
    <row r="70" spans="3:5" ht="24.75" customHeight="1" x14ac:dyDescent="0.25">
      <c r="C70" s="3"/>
      <c r="D70" s="3"/>
      <c r="E70" s="3"/>
    </row>
    <row r="71" spans="3:5" ht="24.75" customHeight="1" x14ac:dyDescent="0.25">
      <c r="C71" s="3"/>
      <c r="D71" s="3"/>
      <c r="E71" s="3"/>
    </row>
    <row r="72" spans="3:5" ht="24.75" customHeight="1" x14ac:dyDescent="0.25">
      <c r="C72" s="3"/>
      <c r="D72" s="3"/>
      <c r="E72" s="3"/>
    </row>
    <row r="73" spans="3:5" ht="24.75" customHeight="1" x14ac:dyDescent="0.25">
      <c r="C73" s="3"/>
      <c r="D73" s="3"/>
      <c r="E73" s="3"/>
    </row>
    <row r="74" spans="3:5" ht="24.75" customHeight="1" x14ac:dyDescent="0.25">
      <c r="C74" s="3"/>
      <c r="D74" s="3"/>
      <c r="E74" s="3"/>
    </row>
    <row r="75" spans="3:5" ht="24.75" customHeight="1" x14ac:dyDescent="0.25">
      <c r="C75" s="3"/>
      <c r="D75" s="3"/>
      <c r="E75" s="3"/>
    </row>
    <row r="76" spans="3:5" ht="24.75" customHeight="1" x14ac:dyDescent="0.25">
      <c r="C76" s="3"/>
      <c r="D76" s="3"/>
      <c r="E76" s="3"/>
    </row>
    <row r="77" spans="3:5" ht="24.75" customHeight="1" x14ac:dyDescent="0.25">
      <c r="C77" s="3"/>
      <c r="D77" s="3"/>
      <c r="E77" s="3"/>
    </row>
    <row r="78" spans="3:5" ht="24.75" customHeight="1" x14ac:dyDescent="0.25">
      <c r="C78" s="3"/>
      <c r="D78" s="3"/>
      <c r="E78" s="3"/>
    </row>
    <row r="79" spans="3:5" ht="24.75" customHeight="1" x14ac:dyDescent="0.25">
      <c r="C79" s="3"/>
      <c r="D79" s="3"/>
      <c r="E79" s="3"/>
    </row>
    <row r="80" spans="3:5" ht="24.75" customHeight="1" x14ac:dyDescent="0.25">
      <c r="C80" s="3"/>
      <c r="D80" s="3"/>
      <c r="E80" s="3"/>
    </row>
    <row r="81" spans="3:5" ht="24.75" customHeight="1" x14ac:dyDescent="0.25">
      <c r="C81" s="3"/>
      <c r="D81" s="3"/>
      <c r="E81" s="3"/>
    </row>
    <row r="82" spans="3:5" ht="24.75" customHeight="1" x14ac:dyDescent="0.25">
      <c r="C82" s="3"/>
      <c r="D82" s="3"/>
      <c r="E82" s="3"/>
    </row>
    <row r="83" spans="3:5" ht="24.75" customHeight="1" x14ac:dyDescent="0.25">
      <c r="C83" s="3"/>
      <c r="D83" s="3"/>
      <c r="E83" s="3"/>
    </row>
    <row r="84" spans="3:5" ht="24.75" customHeight="1" x14ac:dyDescent="0.25">
      <c r="C84" s="3"/>
      <c r="D84" s="3"/>
      <c r="E84" s="3"/>
    </row>
    <row r="85" spans="3:5" ht="24.75" customHeight="1" x14ac:dyDescent="0.25">
      <c r="C85" s="3"/>
      <c r="D85" s="3"/>
      <c r="E85" s="3"/>
    </row>
    <row r="86" spans="3:5" ht="24.75" customHeight="1" x14ac:dyDescent="0.25">
      <c r="C86" s="3"/>
      <c r="D86" s="3"/>
      <c r="E86" s="3"/>
    </row>
    <row r="87" spans="3:5" ht="24.75" customHeight="1" x14ac:dyDescent="0.25">
      <c r="C87" s="3"/>
      <c r="D87" s="3"/>
      <c r="E87" s="3"/>
    </row>
    <row r="88" spans="3:5" ht="24.75" customHeight="1" x14ac:dyDescent="0.25">
      <c r="C88" s="3"/>
      <c r="D88" s="3"/>
      <c r="E88" s="3"/>
    </row>
    <row r="89" spans="3:5" ht="24.75" customHeight="1" x14ac:dyDescent="0.25">
      <c r="C89" s="3"/>
      <c r="D89" s="3"/>
      <c r="E89" s="3"/>
    </row>
    <row r="90" spans="3:5" ht="24.75" customHeight="1" x14ac:dyDescent="0.25">
      <c r="C90" s="3"/>
      <c r="D90" s="3"/>
      <c r="E90" s="3"/>
    </row>
    <row r="91" spans="3:5" ht="24.75" customHeight="1" x14ac:dyDescent="0.25">
      <c r="C91" s="3"/>
      <c r="D91" s="3"/>
      <c r="E91" s="3"/>
    </row>
    <row r="92" spans="3:5" ht="24.75" customHeight="1" x14ac:dyDescent="0.25">
      <c r="C92" s="3"/>
      <c r="D92" s="3"/>
      <c r="E92" s="3"/>
    </row>
    <row r="93" spans="3:5" ht="24.75" customHeight="1" x14ac:dyDescent="0.25">
      <c r="C93" s="3"/>
      <c r="D93" s="3"/>
      <c r="E93" s="3"/>
    </row>
    <row r="94" spans="3:5" ht="24.75" customHeight="1" x14ac:dyDescent="0.25">
      <c r="C94" s="3"/>
      <c r="D94" s="3"/>
      <c r="E94" s="3"/>
    </row>
    <row r="95" spans="3:5" ht="24.75" customHeight="1" x14ac:dyDescent="0.25">
      <c r="C95" s="3"/>
      <c r="D95" s="3"/>
      <c r="E95" s="3"/>
    </row>
    <row r="96" spans="3:5" ht="24.75" customHeight="1" x14ac:dyDescent="0.25">
      <c r="C96" s="3"/>
      <c r="D96" s="3"/>
      <c r="E96" s="3"/>
    </row>
    <row r="97" spans="3:5" ht="24.75" customHeight="1" x14ac:dyDescent="0.25">
      <c r="C97" s="3"/>
      <c r="D97" s="3"/>
      <c r="E97" s="3"/>
    </row>
    <row r="98" spans="3:5" ht="24.75" customHeight="1" x14ac:dyDescent="0.25">
      <c r="C98" s="3"/>
      <c r="D98" s="3"/>
      <c r="E98" s="3"/>
    </row>
    <row r="99" spans="3:5" ht="24.75" customHeight="1" x14ac:dyDescent="0.25">
      <c r="C99" s="3"/>
      <c r="D99" s="3"/>
      <c r="E99" s="3"/>
    </row>
    <row r="100" spans="3:5" ht="24.75" customHeight="1" x14ac:dyDescent="0.25">
      <c r="C100" s="3"/>
      <c r="D100" s="3"/>
      <c r="E100" s="3"/>
    </row>
    <row r="101" spans="3:5" ht="24.75" customHeight="1" x14ac:dyDescent="0.25">
      <c r="C101" s="3"/>
      <c r="D101" s="3"/>
      <c r="E101" s="3"/>
    </row>
    <row r="102" spans="3:5" ht="24.75" customHeight="1" x14ac:dyDescent="0.25">
      <c r="C102" s="3"/>
      <c r="D102" s="3"/>
      <c r="E102" s="3"/>
    </row>
    <row r="103" spans="3:5" ht="24.75" customHeight="1" x14ac:dyDescent="0.25">
      <c r="C103" s="3"/>
      <c r="D103" s="3"/>
      <c r="E103" s="3"/>
    </row>
    <row r="104" spans="3:5" ht="24.75" customHeight="1" x14ac:dyDescent="0.25">
      <c r="C104" s="3"/>
      <c r="D104" s="3"/>
      <c r="E104" s="3"/>
    </row>
    <row r="105" spans="3:5" ht="24.75" customHeight="1" x14ac:dyDescent="0.25">
      <c r="C105" s="3"/>
      <c r="D105" s="3"/>
      <c r="E105" s="3"/>
    </row>
    <row r="106" spans="3:5" ht="24.75" customHeight="1" x14ac:dyDescent="0.25">
      <c r="C106" s="3"/>
      <c r="D106" s="3"/>
      <c r="E106" s="3"/>
    </row>
    <row r="107" spans="3:5" ht="24.75" customHeight="1" x14ac:dyDescent="0.25">
      <c r="C107" s="3"/>
      <c r="D107" s="3"/>
      <c r="E107" s="3"/>
    </row>
    <row r="108" spans="3:5" ht="24.75" customHeight="1" x14ac:dyDescent="0.25">
      <c r="C108" s="3"/>
      <c r="D108" s="3"/>
      <c r="E108" s="3"/>
    </row>
    <row r="109" spans="3:5" ht="24.75" customHeight="1" x14ac:dyDescent="0.25">
      <c r="C109" s="3"/>
      <c r="D109" s="3"/>
      <c r="E109" s="3"/>
    </row>
    <row r="110" spans="3:5" ht="24.75" customHeight="1" x14ac:dyDescent="0.25">
      <c r="C110" s="3"/>
      <c r="D110" s="3"/>
      <c r="E110" s="3"/>
    </row>
    <row r="111" spans="3:5" ht="24.75" customHeight="1" x14ac:dyDescent="0.25">
      <c r="C111" s="3"/>
      <c r="D111" s="3"/>
      <c r="E111" s="3"/>
    </row>
    <row r="112" spans="3:5" ht="24.75" customHeight="1" x14ac:dyDescent="0.25">
      <c r="C112" s="3"/>
      <c r="D112" s="3"/>
      <c r="E112" s="3"/>
    </row>
    <row r="113" spans="3:5" ht="24.75" customHeight="1" x14ac:dyDescent="0.25">
      <c r="C113" s="3"/>
      <c r="D113" s="3"/>
      <c r="E113" s="3"/>
    </row>
    <row r="114" spans="3:5" ht="24.75" customHeight="1" x14ac:dyDescent="0.25">
      <c r="C114" s="3"/>
      <c r="D114" s="3"/>
      <c r="E114" s="3"/>
    </row>
    <row r="115" spans="3:5" ht="24.75" customHeight="1" x14ac:dyDescent="0.25">
      <c r="C115" s="3"/>
      <c r="D115" s="3"/>
      <c r="E115" s="3"/>
    </row>
    <row r="116" spans="3:5" ht="24.75" customHeight="1" x14ac:dyDescent="0.25">
      <c r="C116" s="3"/>
      <c r="D116" s="3"/>
      <c r="E116" s="3"/>
    </row>
    <row r="117" spans="3:5" ht="24.75" customHeight="1" x14ac:dyDescent="0.25">
      <c r="C117" s="3"/>
      <c r="D117" s="3"/>
      <c r="E117" s="3"/>
    </row>
    <row r="118" spans="3:5" ht="24.75" customHeight="1" x14ac:dyDescent="0.25">
      <c r="C118" s="3"/>
      <c r="D118" s="3"/>
      <c r="E118" s="3"/>
    </row>
    <row r="119" spans="3:5" ht="24.75" customHeight="1" x14ac:dyDescent="0.25">
      <c r="C119" s="3"/>
      <c r="D119" s="3"/>
      <c r="E119" s="3"/>
    </row>
    <row r="120" spans="3:5" ht="24.75" customHeight="1" x14ac:dyDescent="0.25">
      <c r="C120" s="3"/>
      <c r="D120" s="3"/>
      <c r="E120" s="3"/>
    </row>
    <row r="121" spans="3:5" ht="24.75" customHeight="1" x14ac:dyDescent="0.25">
      <c r="C121" s="3"/>
      <c r="D121" s="3"/>
      <c r="E121" s="3"/>
    </row>
    <row r="122" spans="3:5" ht="24.75" customHeight="1" x14ac:dyDescent="0.25">
      <c r="C122" s="3"/>
      <c r="D122" s="3"/>
      <c r="E122" s="3"/>
    </row>
    <row r="123" spans="3:5" ht="24.75" customHeight="1" x14ac:dyDescent="0.25">
      <c r="C123" s="3"/>
      <c r="D123" s="3"/>
      <c r="E123" s="3"/>
    </row>
    <row r="124" spans="3:5" ht="24.75" customHeight="1" x14ac:dyDescent="0.25">
      <c r="C124" s="3"/>
      <c r="D124" s="3"/>
      <c r="E124" s="3"/>
    </row>
    <row r="125" spans="3:5" ht="24.75" customHeight="1" x14ac:dyDescent="0.25">
      <c r="C125" s="3"/>
      <c r="D125" s="3"/>
      <c r="E125" s="3"/>
    </row>
    <row r="126" spans="3:5" ht="24.75" customHeight="1" x14ac:dyDescent="0.25">
      <c r="C126" s="3"/>
      <c r="D126" s="3"/>
      <c r="E126" s="3"/>
    </row>
    <row r="127" spans="3:5" ht="24.75" customHeight="1" x14ac:dyDescent="0.25">
      <c r="C127" s="3"/>
      <c r="D127" s="3"/>
      <c r="E127" s="3"/>
    </row>
    <row r="128" spans="3:5" ht="24.75" customHeight="1" x14ac:dyDescent="0.25">
      <c r="C128" s="3"/>
      <c r="D128" s="3"/>
      <c r="E128" s="3"/>
    </row>
    <row r="129" spans="3:5" ht="24.75" customHeight="1" x14ac:dyDescent="0.25">
      <c r="C129" s="3"/>
      <c r="D129" s="3"/>
      <c r="E129" s="3"/>
    </row>
    <row r="130" spans="3:5" ht="24.75" customHeight="1" x14ac:dyDescent="0.25">
      <c r="C130" s="3"/>
      <c r="D130" s="3"/>
      <c r="E130" s="3"/>
    </row>
    <row r="131" spans="3:5" ht="24.75" customHeight="1" x14ac:dyDescent="0.25">
      <c r="C131" s="3"/>
      <c r="D131" s="3"/>
      <c r="E131" s="3"/>
    </row>
    <row r="132" spans="3:5" ht="24.75" customHeight="1" x14ac:dyDescent="0.25">
      <c r="C132" s="3"/>
      <c r="D132" s="3"/>
      <c r="E132" s="3"/>
    </row>
    <row r="133" spans="3:5" ht="24.75" customHeight="1" x14ac:dyDescent="0.25">
      <c r="C133" s="3"/>
      <c r="D133" s="3"/>
      <c r="E133" s="3"/>
    </row>
    <row r="134" spans="3:5" ht="24.75" customHeight="1" x14ac:dyDescent="0.25">
      <c r="C134" s="3"/>
      <c r="D134" s="3"/>
      <c r="E134" s="3"/>
    </row>
    <row r="135" spans="3:5" ht="24.75" customHeight="1" x14ac:dyDescent="0.25">
      <c r="C135" s="3"/>
      <c r="D135" s="3"/>
      <c r="E135" s="3"/>
    </row>
    <row r="136" spans="3:5" ht="24.75" customHeight="1" x14ac:dyDescent="0.25">
      <c r="C136" s="3"/>
      <c r="D136" s="3"/>
      <c r="E136" s="3"/>
    </row>
    <row r="137" spans="3:5" ht="24.75" customHeight="1" x14ac:dyDescent="0.25">
      <c r="C137" s="3"/>
      <c r="D137" s="3"/>
      <c r="E137" s="3"/>
    </row>
    <row r="138" spans="3:5" ht="24.75" customHeight="1" x14ac:dyDescent="0.25">
      <c r="C138" s="3"/>
      <c r="D138" s="3"/>
      <c r="E138" s="3"/>
    </row>
    <row r="139" spans="3:5" ht="24.75" customHeight="1" x14ac:dyDescent="0.25">
      <c r="C139" s="3"/>
      <c r="D139" s="3"/>
      <c r="E139" s="3"/>
    </row>
    <row r="140" spans="3:5" ht="24.75" customHeight="1" x14ac:dyDescent="0.25">
      <c r="C140" s="3"/>
      <c r="D140" s="3"/>
      <c r="E140" s="3"/>
    </row>
    <row r="141" spans="3:5" ht="24.75" customHeight="1" x14ac:dyDescent="0.25">
      <c r="C141" s="3"/>
      <c r="D141" s="3"/>
      <c r="E141" s="3"/>
    </row>
    <row r="142" spans="3:5" ht="24.75" customHeight="1" x14ac:dyDescent="0.25">
      <c r="C142" s="3"/>
      <c r="D142" s="3"/>
      <c r="E142" s="3"/>
    </row>
    <row r="143" spans="3:5" ht="24.75" customHeight="1" x14ac:dyDescent="0.25">
      <c r="C143" s="3"/>
      <c r="D143" s="3"/>
      <c r="E143" s="3"/>
    </row>
    <row r="144" spans="3:5" ht="24.75" customHeight="1" x14ac:dyDescent="0.25">
      <c r="C144" s="3"/>
      <c r="D144" s="3"/>
      <c r="E144" s="3"/>
    </row>
    <row r="145" spans="3:5" ht="24.75" customHeight="1" x14ac:dyDescent="0.25">
      <c r="C145" s="3"/>
      <c r="D145" s="3"/>
      <c r="E145" s="3"/>
    </row>
    <row r="146" spans="3:5" ht="24.75" customHeight="1" x14ac:dyDescent="0.25">
      <c r="C146" s="3"/>
      <c r="D146" s="3"/>
      <c r="E146" s="3"/>
    </row>
    <row r="147" spans="3:5" ht="24.75" customHeight="1" x14ac:dyDescent="0.25">
      <c r="C147" s="3"/>
      <c r="D147" s="3"/>
      <c r="E147" s="3"/>
    </row>
    <row r="148" spans="3:5" ht="24.75" customHeight="1" x14ac:dyDescent="0.25">
      <c r="C148" s="3"/>
      <c r="D148" s="3"/>
      <c r="E148" s="3"/>
    </row>
    <row r="149" spans="3:5" ht="24.75" customHeight="1" x14ac:dyDescent="0.25">
      <c r="C149" s="3"/>
      <c r="D149" s="3"/>
      <c r="E149" s="3"/>
    </row>
    <row r="150" spans="3:5" ht="24.75" customHeight="1" x14ac:dyDescent="0.25">
      <c r="C150" s="3"/>
      <c r="D150" s="3"/>
      <c r="E150" s="3"/>
    </row>
    <row r="151" spans="3:5" ht="24.75" customHeight="1" x14ac:dyDescent="0.25">
      <c r="C151" s="3"/>
      <c r="D151" s="3"/>
      <c r="E151" s="3"/>
    </row>
    <row r="152" spans="3:5" ht="24.75" customHeight="1" x14ac:dyDescent="0.25">
      <c r="C152" s="3"/>
      <c r="D152" s="3"/>
      <c r="E152" s="3"/>
    </row>
    <row r="153" spans="3:5" ht="24.75" customHeight="1" x14ac:dyDescent="0.25">
      <c r="C153" s="3"/>
      <c r="D153" s="3"/>
      <c r="E153" s="3"/>
    </row>
    <row r="154" spans="3:5" ht="24.75" customHeight="1" x14ac:dyDescent="0.25">
      <c r="C154" s="3"/>
      <c r="D154" s="3"/>
      <c r="E154" s="3"/>
    </row>
    <row r="155" spans="3:5" ht="24.75" customHeight="1" x14ac:dyDescent="0.25">
      <c r="C155" s="3"/>
      <c r="D155" s="3"/>
      <c r="E155" s="3"/>
    </row>
    <row r="156" spans="3:5" ht="24.75" customHeight="1" x14ac:dyDescent="0.25">
      <c r="C156" s="3"/>
      <c r="D156" s="3"/>
      <c r="E156" s="3"/>
    </row>
    <row r="157" spans="3:5" ht="24.75" customHeight="1" x14ac:dyDescent="0.25">
      <c r="C157" s="3"/>
      <c r="D157" s="3"/>
      <c r="E157" s="3"/>
    </row>
    <row r="158" spans="3:5" ht="24.75" customHeight="1" x14ac:dyDescent="0.25">
      <c r="C158" s="3"/>
      <c r="D158" s="3"/>
      <c r="E158" s="3"/>
    </row>
    <row r="159" spans="3:5" ht="24.75" customHeight="1" x14ac:dyDescent="0.25">
      <c r="C159" s="3"/>
      <c r="D159" s="3"/>
      <c r="E159" s="3"/>
    </row>
    <row r="160" spans="3:5" ht="24.75" customHeight="1" x14ac:dyDescent="0.25">
      <c r="C160" s="3"/>
      <c r="D160" s="3"/>
      <c r="E160" s="3"/>
    </row>
    <row r="161" spans="3:5" ht="24.75" customHeight="1" x14ac:dyDescent="0.25">
      <c r="C161" s="3"/>
      <c r="D161" s="3"/>
      <c r="E161" s="3"/>
    </row>
    <row r="162" spans="3:5" ht="24.75" customHeight="1" x14ac:dyDescent="0.25">
      <c r="C162" s="3"/>
      <c r="D162" s="3"/>
      <c r="E162" s="3"/>
    </row>
    <row r="163" spans="3:5" ht="24.75" customHeight="1" x14ac:dyDescent="0.25">
      <c r="C163" s="3"/>
      <c r="D163" s="3"/>
      <c r="E163" s="3"/>
    </row>
    <row r="164" spans="3:5" ht="24.75" customHeight="1" x14ac:dyDescent="0.25">
      <c r="C164" s="3"/>
      <c r="D164" s="3"/>
      <c r="E164" s="3"/>
    </row>
    <row r="165" spans="3:5" ht="24.75" customHeight="1" x14ac:dyDescent="0.25">
      <c r="C165" s="3"/>
      <c r="D165" s="3"/>
      <c r="E165" s="3"/>
    </row>
    <row r="166" spans="3:5" ht="24.75" customHeight="1" x14ac:dyDescent="0.25">
      <c r="C166" s="3"/>
      <c r="D166" s="3"/>
      <c r="E166" s="3"/>
    </row>
    <row r="167" spans="3:5" ht="24.75" customHeight="1" x14ac:dyDescent="0.25">
      <c r="C167" s="3"/>
      <c r="D167" s="3"/>
      <c r="E167" s="3"/>
    </row>
    <row r="168" spans="3:5" ht="24.75" customHeight="1" x14ac:dyDescent="0.25">
      <c r="C168" s="3"/>
      <c r="D168" s="3"/>
      <c r="E168" s="3"/>
    </row>
    <row r="169" spans="3:5" ht="24.75" customHeight="1" x14ac:dyDescent="0.25">
      <c r="C169" s="3"/>
      <c r="D169" s="3"/>
      <c r="E169" s="3"/>
    </row>
    <row r="170" spans="3:5" ht="24.75" customHeight="1" x14ac:dyDescent="0.25">
      <c r="C170" s="3"/>
      <c r="D170" s="3"/>
      <c r="E170" s="3"/>
    </row>
    <row r="171" spans="3:5" ht="24.75" customHeight="1" x14ac:dyDescent="0.25">
      <c r="C171" s="3"/>
      <c r="D171" s="3"/>
      <c r="E171" s="3"/>
    </row>
    <row r="172" spans="3:5" ht="24.75" customHeight="1" x14ac:dyDescent="0.25">
      <c r="C172" s="3"/>
      <c r="D172" s="3"/>
      <c r="E172" s="3"/>
    </row>
    <row r="173" spans="3:5" ht="24.75" customHeight="1" x14ac:dyDescent="0.25">
      <c r="C173" s="3"/>
      <c r="D173" s="3"/>
      <c r="E173" s="3"/>
    </row>
    <row r="174" spans="3:5" ht="24.75" customHeight="1" x14ac:dyDescent="0.25">
      <c r="C174" s="3"/>
      <c r="D174" s="3"/>
      <c r="E174" s="3"/>
    </row>
    <row r="175" spans="3:5" ht="24.75" customHeight="1" x14ac:dyDescent="0.25">
      <c r="C175" s="3"/>
      <c r="D175" s="3"/>
      <c r="E175" s="3"/>
    </row>
    <row r="176" spans="3:5" ht="24.75" customHeight="1" x14ac:dyDescent="0.25">
      <c r="C176" s="3"/>
      <c r="D176" s="3"/>
      <c r="E176" s="3"/>
    </row>
    <row r="177" spans="3:5" ht="24.75" customHeight="1" x14ac:dyDescent="0.25">
      <c r="C177" s="3"/>
      <c r="D177" s="3"/>
      <c r="E177" s="3"/>
    </row>
    <row r="178" spans="3:5" ht="24.75" customHeight="1" x14ac:dyDescent="0.25">
      <c r="C178" s="3"/>
      <c r="D178" s="3"/>
      <c r="E178" s="3"/>
    </row>
    <row r="179" spans="3:5" ht="24.75" customHeight="1" x14ac:dyDescent="0.25">
      <c r="C179" s="3"/>
      <c r="D179" s="3"/>
      <c r="E179" s="3"/>
    </row>
    <row r="180" spans="3:5" ht="24.75" customHeight="1" x14ac:dyDescent="0.25">
      <c r="C180" s="3"/>
      <c r="D180" s="3"/>
      <c r="E180" s="3"/>
    </row>
    <row r="181" spans="3:5" ht="24.75" customHeight="1" x14ac:dyDescent="0.25">
      <c r="C181" s="3"/>
      <c r="D181" s="3"/>
      <c r="E181" s="3"/>
    </row>
    <row r="182" spans="3:5" ht="24.75" customHeight="1" x14ac:dyDescent="0.25">
      <c r="C182" s="3"/>
      <c r="D182" s="3"/>
      <c r="E182" s="3"/>
    </row>
    <row r="183" spans="3:5" ht="24.75" customHeight="1" x14ac:dyDescent="0.25">
      <c r="C183" s="3"/>
      <c r="D183" s="3"/>
      <c r="E183" s="3"/>
    </row>
    <row r="184" spans="3:5" ht="24.75" customHeight="1" x14ac:dyDescent="0.25">
      <c r="C184" s="3"/>
      <c r="D184" s="3"/>
      <c r="E184" s="3"/>
    </row>
    <row r="185" spans="3:5" ht="24.75" customHeight="1" x14ac:dyDescent="0.25">
      <c r="C185" s="3"/>
      <c r="D185" s="3"/>
      <c r="E185" s="3"/>
    </row>
    <row r="186" spans="3:5" ht="24.75" customHeight="1" x14ac:dyDescent="0.25">
      <c r="C186" s="3"/>
      <c r="D186" s="3"/>
      <c r="E186" s="3"/>
    </row>
    <row r="187" spans="3:5" ht="24.75" customHeight="1" x14ac:dyDescent="0.25">
      <c r="C187" s="3"/>
      <c r="D187" s="3"/>
      <c r="E187" s="3"/>
    </row>
    <row r="188" spans="3:5" ht="24.75" customHeight="1" x14ac:dyDescent="0.25">
      <c r="C188" s="3"/>
      <c r="D188" s="3"/>
      <c r="E188" s="3"/>
    </row>
    <row r="189" spans="3:5" ht="24.75" customHeight="1" x14ac:dyDescent="0.25">
      <c r="C189" s="3"/>
      <c r="D189" s="3"/>
      <c r="E189" s="3"/>
    </row>
    <row r="190" spans="3:5" ht="24.75" customHeight="1" x14ac:dyDescent="0.25">
      <c r="C190" s="3"/>
      <c r="D190" s="3"/>
      <c r="E190" s="3"/>
    </row>
    <row r="191" spans="3:5" ht="24.75" customHeight="1" x14ac:dyDescent="0.25">
      <c r="C191" s="3"/>
      <c r="D191" s="3"/>
      <c r="E191" s="3"/>
    </row>
    <row r="192" spans="3:5" ht="24.75" customHeight="1" x14ac:dyDescent="0.25">
      <c r="C192" s="3"/>
      <c r="D192" s="3"/>
      <c r="E192" s="3"/>
    </row>
    <row r="193" spans="3:5" ht="24.75" customHeight="1" x14ac:dyDescent="0.25">
      <c r="C193" s="3"/>
      <c r="D193" s="3"/>
      <c r="E193" s="3"/>
    </row>
    <row r="194" spans="3:5" ht="24.75" customHeight="1" x14ac:dyDescent="0.25">
      <c r="C194" s="3"/>
      <c r="D194" s="3"/>
      <c r="E194" s="3"/>
    </row>
    <row r="195" spans="3:5" ht="24.75" customHeight="1" x14ac:dyDescent="0.25">
      <c r="C195" s="3"/>
      <c r="D195" s="3"/>
      <c r="E195" s="3"/>
    </row>
    <row r="196" spans="3:5" ht="24.75" customHeight="1" x14ac:dyDescent="0.25">
      <c r="C196" s="3"/>
      <c r="D196" s="3"/>
      <c r="E196" s="3"/>
    </row>
    <row r="197" spans="3:5" ht="24.75" customHeight="1" x14ac:dyDescent="0.25">
      <c r="C197" s="3"/>
      <c r="D197" s="3"/>
      <c r="E197" s="3"/>
    </row>
    <row r="198" spans="3:5" ht="24.75" customHeight="1" x14ac:dyDescent="0.25">
      <c r="C198" s="3"/>
      <c r="D198" s="3"/>
      <c r="E198" s="3"/>
    </row>
    <row r="199" spans="3:5" ht="24.75" customHeight="1" x14ac:dyDescent="0.25">
      <c r="C199" s="3"/>
      <c r="D199" s="3"/>
      <c r="E199" s="3"/>
    </row>
    <row r="200" spans="3:5" ht="24.75" customHeight="1" x14ac:dyDescent="0.25">
      <c r="C200" s="3"/>
      <c r="D200" s="3"/>
      <c r="E200" s="3"/>
    </row>
    <row r="201" spans="3:5" ht="24.75" customHeight="1" x14ac:dyDescent="0.25">
      <c r="C201" s="3"/>
      <c r="D201" s="3"/>
      <c r="E201" s="3"/>
    </row>
    <row r="202" spans="3:5" ht="24.75" customHeight="1" x14ac:dyDescent="0.25">
      <c r="C202" s="3"/>
      <c r="D202" s="3"/>
      <c r="E202" s="3"/>
    </row>
    <row r="203" spans="3:5" ht="24.75" customHeight="1" x14ac:dyDescent="0.25">
      <c r="C203" s="3"/>
      <c r="D203" s="3"/>
      <c r="E203" s="3"/>
    </row>
    <row r="204" spans="3:5" ht="24.75" customHeight="1" x14ac:dyDescent="0.25">
      <c r="C204" s="3"/>
      <c r="D204" s="3"/>
      <c r="E204" s="3"/>
    </row>
    <row r="205" spans="3:5" ht="24.75" customHeight="1" x14ac:dyDescent="0.25">
      <c r="C205" s="3"/>
      <c r="D205" s="3"/>
      <c r="E205" s="3"/>
    </row>
    <row r="206" spans="3:5" ht="24.75" customHeight="1" x14ac:dyDescent="0.25">
      <c r="C206" s="3"/>
      <c r="D206" s="3"/>
      <c r="E206" s="3"/>
    </row>
    <row r="207" spans="3:5" ht="24.75" customHeight="1" x14ac:dyDescent="0.25">
      <c r="C207" s="3"/>
      <c r="D207" s="3"/>
      <c r="E207" s="3"/>
    </row>
    <row r="208" spans="3:5" ht="24.75" customHeight="1" x14ac:dyDescent="0.25">
      <c r="C208" s="3"/>
      <c r="D208" s="3"/>
      <c r="E208" s="3"/>
    </row>
    <row r="209" spans="3:5" ht="24.75" customHeight="1" x14ac:dyDescent="0.25">
      <c r="C209" s="3"/>
      <c r="D209" s="3"/>
      <c r="E209" s="3"/>
    </row>
    <row r="210" spans="3:5" ht="24.75" customHeight="1" x14ac:dyDescent="0.25">
      <c r="C210" s="3"/>
      <c r="D210" s="3"/>
      <c r="E210" s="3"/>
    </row>
    <row r="211" spans="3:5" ht="24.75" customHeight="1" x14ac:dyDescent="0.25">
      <c r="C211" s="3"/>
      <c r="D211" s="3"/>
      <c r="E211" s="3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21"/>
  <sheetViews>
    <sheetView topLeftCell="A4" workbookViewId="0">
      <selection activeCell="H33" sqref="H33"/>
    </sheetView>
  </sheetViews>
  <sheetFormatPr baseColWidth="10" defaultColWidth="11.42578125" defaultRowHeight="24.75" customHeight="1" x14ac:dyDescent="0.25"/>
  <cols>
    <col min="1" max="1" width="7.42578125" style="1" customWidth="1"/>
    <col min="2" max="2" width="48.140625" style="1" customWidth="1"/>
    <col min="3" max="3" width="24.5703125" style="1" customWidth="1"/>
    <col min="4" max="4" width="11.42578125" style="1"/>
    <col min="5" max="5" width="17.42578125" style="1" bestFit="1" customWidth="1"/>
    <col min="6" max="16384" width="11.42578125" style="1"/>
  </cols>
  <sheetData>
    <row r="3" spans="1:10" ht="24.75" customHeight="1" x14ac:dyDescent="0.25">
      <c r="A3" s="49"/>
      <c r="B3" s="625" t="s">
        <v>288</v>
      </c>
      <c r="C3" s="625"/>
      <c r="D3" s="49"/>
      <c r="G3" s="45"/>
      <c r="H3" s="45"/>
      <c r="I3" s="45"/>
      <c r="J3" s="45"/>
    </row>
    <row r="4" spans="1:10" ht="24.75" customHeight="1" x14ac:dyDescent="0.25">
      <c r="A4" s="49"/>
      <c r="B4" s="625" t="s">
        <v>268</v>
      </c>
      <c r="C4" s="625"/>
      <c r="D4" s="49"/>
      <c r="G4" s="45"/>
      <c r="H4" s="45"/>
      <c r="I4" s="45"/>
      <c r="J4" s="45"/>
    </row>
    <row r="5" spans="1:10" ht="24.75" customHeight="1" x14ac:dyDescent="0.25">
      <c r="A5" s="49"/>
      <c r="B5" s="625" t="s">
        <v>289</v>
      </c>
      <c r="C5" s="625"/>
      <c r="D5" s="49"/>
      <c r="G5" s="45"/>
      <c r="H5" s="45"/>
      <c r="I5" s="45"/>
      <c r="J5" s="45"/>
    </row>
    <row r="6" spans="1:10" ht="24.75" customHeight="1" x14ac:dyDescent="0.25">
      <c r="A6" s="49"/>
      <c r="B6" s="635">
        <v>45808</v>
      </c>
      <c r="C6" s="635"/>
      <c r="D6" s="97"/>
      <c r="E6" s="97"/>
    </row>
    <row r="7" spans="1:10" ht="24.75" customHeight="1" thickBot="1" x14ac:dyDescent="0.3">
      <c r="A7" s="49"/>
      <c r="B7" s="65"/>
      <c r="C7" s="65"/>
      <c r="D7" s="49"/>
    </row>
    <row r="8" spans="1:10" ht="24.75" customHeight="1" thickBot="1" x14ac:dyDescent="0.3">
      <c r="A8" s="49"/>
      <c r="B8" s="68" t="s">
        <v>254</v>
      </c>
      <c r="C8" s="70" t="s">
        <v>271</v>
      </c>
      <c r="D8" s="49"/>
      <c r="E8" s="532"/>
    </row>
    <row r="9" spans="1:10" ht="24.75" customHeight="1" x14ac:dyDescent="0.25">
      <c r="A9" s="49"/>
      <c r="B9" s="98" t="s">
        <v>290</v>
      </c>
      <c r="C9" s="404">
        <f>+'NOTA 3-C-CONST '!F37</f>
        <v>7132898.709999999</v>
      </c>
      <c r="D9" s="49"/>
      <c r="E9" s="532"/>
    </row>
    <row r="10" spans="1:10" ht="24.75" customHeight="1" x14ac:dyDescent="0.25">
      <c r="A10" s="49"/>
      <c r="B10" s="100" t="s">
        <v>291</v>
      </c>
      <c r="C10" s="405">
        <f>+'NOTA 3-ANTIC COMP Y OTRAS'!E23</f>
        <v>4391646.49</v>
      </c>
      <c r="D10" s="49"/>
      <c r="E10" s="532"/>
    </row>
    <row r="11" spans="1:10" ht="24.75" hidden="1" customHeight="1" x14ac:dyDescent="0.25">
      <c r="A11" s="49"/>
      <c r="B11" s="100" t="s">
        <v>292</v>
      </c>
      <c r="C11" s="405">
        <f>+'NOTA 3-Intereses'!C11</f>
        <v>0</v>
      </c>
      <c r="D11" s="49"/>
    </row>
    <row r="12" spans="1:10" ht="24.75" customHeight="1" x14ac:dyDescent="0.25">
      <c r="A12" s="49"/>
      <c r="B12" s="100" t="s">
        <v>293</v>
      </c>
      <c r="C12" s="405">
        <f>+'Nota 3 CxC Emplead'!I11</f>
        <v>50873</v>
      </c>
      <c r="D12" s="49"/>
    </row>
    <row r="13" spans="1:10" ht="24.75" customHeight="1" x14ac:dyDescent="0.4">
      <c r="A13" s="49"/>
      <c r="B13" s="100" t="s">
        <v>294</v>
      </c>
      <c r="C13" s="406">
        <f>+'NOTA 3-C X C'!C12</f>
        <v>240318.77</v>
      </c>
      <c r="D13" s="49"/>
    </row>
    <row r="14" spans="1:10" ht="24.75" customHeight="1" x14ac:dyDescent="0.4">
      <c r="A14" s="49"/>
      <c r="B14" s="103" t="s">
        <v>287</v>
      </c>
      <c r="C14" s="407">
        <f>SUM(C9:C13)</f>
        <v>11815736.969999999</v>
      </c>
      <c r="D14" s="49"/>
    </row>
    <row r="15" spans="1:10" ht="24.75" customHeight="1" thickBot="1" x14ac:dyDescent="0.3">
      <c r="A15" s="49"/>
      <c r="B15" s="105"/>
      <c r="C15" s="106"/>
      <c r="D15" s="49"/>
    </row>
    <row r="16" spans="1:10" ht="24.75" customHeight="1" x14ac:dyDescent="0.25">
      <c r="C16" s="18"/>
    </row>
    <row r="17" spans="3:3" ht="24.75" customHeight="1" x14ac:dyDescent="0.25">
      <c r="C17" s="18"/>
    </row>
    <row r="18" spans="3:3" ht="24.75" customHeight="1" x14ac:dyDescent="0.25">
      <c r="C18" s="18"/>
    </row>
    <row r="19" spans="3:3" ht="24.75" customHeight="1" x14ac:dyDescent="0.25">
      <c r="C19" s="18"/>
    </row>
    <row r="20" spans="3:3" ht="24.75" customHeight="1" x14ac:dyDescent="0.25">
      <c r="C20" s="18"/>
    </row>
    <row r="21" spans="3:3" ht="24.75" customHeight="1" x14ac:dyDescent="0.25">
      <c r="C21" s="18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4"/>
  <sheetViews>
    <sheetView topLeftCell="C33" zoomScaleNormal="100" zoomScaleSheetLayoutView="80" workbookViewId="0">
      <selection activeCell="H33" sqref="H33"/>
    </sheetView>
  </sheetViews>
  <sheetFormatPr baseColWidth="10" defaultColWidth="9.140625" defaultRowHeight="15.75" x14ac:dyDescent="0.25"/>
  <cols>
    <col min="1" max="1" width="7.5703125" style="1" bestFit="1" customWidth="1"/>
    <col min="2" max="2" width="46.7109375" style="1" customWidth="1"/>
    <col min="3" max="3" width="68.85546875" style="1" customWidth="1"/>
    <col min="4" max="5" width="21.5703125" style="2" bestFit="1" customWidth="1"/>
    <col min="6" max="6" width="20" style="2" customWidth="1"/>
    <col min="7" max="7" width="15.7109375" style="2" bestFit="1" customWidth="1"/>
    <col min="8" max="8" width="21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18" customHeight="1" x14ac:dyDescent="0.25">
      <c r="B1" s="625"/>
      <c r="C1" s="625"/>
      <c r="D1" s="625"/>
      <c r="E1" s="625"/>
      <c r="F1" s="625"/>
    </row>
    <row r="2" spans="2:8" ht="24.75" customHeight="1" x14ac:dyDescent="0.25">
      <c r="B2" s="45"/>
      <c r="C2" s="45"/>
      <c r="D2" s="45"/>
      <c r="E2" s="45"/>
      <c r="F2" s="45"/>
    </row>
    <row r="3" spans="2:8" ht="24.75" customHeight="1" x14ac:dyDescent="0.25">
      <c r="B3" s="625" t="s">
        <v>288</v>
      </c>
      <c r="C3" s="625"/>
      <c r="D3" s="625"/>
      <c r="E3" s="625"/>
      <c r="F3" s="625"/>
    </row>
    <row r="4" spans="2:8" ht="24.75" customHeight="1" x14ac:dyDescent="0.25">
      <c r="B4" s="625" t="s">
        <v>268</v>
      </c>
      <c r="C4" s="625"/>
      <c r="D4" s="625"/>
      <c r="E4" s="625"/>
      <c r="F4" s="625"/>
    </row>
    <row r="5" spans="2:8" ht="24.75" customHeight="1" x14ac:dyDescent="0.25">
      <c r="B5" s="625" t="s">
        <v>295</v>
      </c>
      <c r="C5" s="625"/>
      <c r="D5" s="625"/>
      <c r="E5" s="625"/>
      <c r="F5" s="625"/>
    </row>
    <row r="6" spans="2:8" ht="24.75" customHeight="1" x14ac:dyDescent="0.25">
      <c r="B6" s="635">
        <v>45808</v>
      </c>
      <c r="C6" s="635"/>
      <c r="D6" s="635"/>
      <c r="E6" s="635"/>
      <c r="F6" s="635"/>
    </row>
    <row r="7" spans="2:8" ht="24.75" customHeight="1" thickBot="1" x14ac:dyDescent="0.3">
      <c r="D7" s="1"/>
      <c r="E7" s="1"/>
      <c r="F7" s="1"/>
    </row>
    <row r="8" spans="2:8" ht="24.75" customHeight="1" x14ac:dyDescent="0.25">
      <c r="B8" s="638" t="s">
        <v>254</v>
      </c>
      <c r="C8" s="639"/>
      <c r="D8" s="107" t="s">
        <v>296</v>
      </c>
      <c r="E8" s="642" t="s">
        <v>297</v>
      </c>
      <c r="F8" s="108" t="s">
        <v>296</v>
      </c>
      <c r="G8" s="1"/>
    </row>
    <row r="9" spans="2:8" ht="24.75" customHeight="1" thickBot="1" x14ac:dyDescent="0.3">
      <c r="B9" s="640"/>
      <c r="C9" s="641"/>
      <c r="D9" s="109" t="s">
        <v>298</v>
      </c>
      <c r="E9" s="643"/>
      <c r="F9" s="110" t="s">
        <v>299</v>
      </c>
      <c r="G9" s="1"/>
    </row>
    <row r="10" spans="2:8" ht="39.6" customHeight="1" x14ac:dyDescent="0.25">
      <c r="B10" s="636" t="s">
        <v>300</v>
      </c>
      <c r="C10" s="468" t="s">
        <v>301</v>
      </c>
      <c r="D10" s="469">
        <v>617492.96</v>
      </c>
      <c r="E10" s="469"/>
      <c r="F10" s="470">
        <f t="shared" ref="F10:F12" si="0">D10-E10</f>
        <v>617492.96</v>
      </c>
      <c r="G10" s="1"/>
      <c r="H10" s="18"/>
    </row>
    <row r="11" spans="2:8" ht="39.6" customHeight="1" x14ac:dyDescent="0.25">
      <c r="B11" s="637"/>
      <c r="C11" s="471" t="s">
        <v>302</v>
      </c>
      <c r="D11" s="472">
        <v>4476.88</v>
      </c>
      <c r="E11" s="472"/>
      <c r="F11" s="473">
        <f t="shared" si="0"/>
        <v>4476.88</v>
      </c>
      <c r="G11" s="1"/>
      <c r="H11" s="18"/>
    </row>
    <row r="12" spans="2:8" ht="39.6" customHeight="1" x14ac:dyDescent="0.25">
      <c r="B12" s="474" t="s">
        <v>303</v>
      </c>
      <c r="C12" s="471" t="s">
        <v>718</v>
      </c>
      <c r="D12" s="472">
        <v>743275.76</v>
      </c>
      <c r="E12" s="472"/>
      <c r="F12" s="472">
        <f t="shared" si="0"/>
        <v>743275.76</v>
      </c>
      <c r="G12" s="1"/>
      <c r="H12" s="18"/>
    </row>
    <row r="13" spans="2:8" ht="39.6" customHeight="1" x14ac:dyDescent="0.25">
      <c r="B13" s="475" t="s">
        <v>304</v>
      </c>
      <c r="C13" s="471" t="s">
        <v>719</v>
      </c>
      <c r="D13" s="472">
        <v>27945.799999999988</v>
      </c>
      <c r="E13" s="472">
        <v>27945.8</v>
      </c>
      <c r="F13" s="472">
        <f>D13-E13</f>
        <v>0</v>
      </c>
      <c r="H13" s="18"/>
    </row>
    <row r="14" spans="2:8" ht="39.6" customHeight="1" x14ac:dyDescent="0.25">
      <c r="B14" s="474" t="s">
        <v>305</v>
      </c>
      <c r="C14" s="471" t="s">
        <v>720</v>
      </c>
      <c r="D14" s="472">
        <v>25017.630000000005</v>
      </c>
      <c r="E14" s="472"/>
      <c r="F14" s="472">
        <f>D14-E14</f>
        <v>25017.630000000005</v>
      </c>
      <c r="H14" s="18"/>
    </row>
    <row r="15" spans="2:8" ht="39.6" customHeight="1" x14ac:dyDescent="0.25">
      <c r="B15" s="475" t="s">
        <v>306</v>
      </c>
      <c r="C15" s="471" t="s">
        <v>307</v>
      </c>
      <c r="D15" s="472">
        <v>601501.59</v>
      </c>
      <c r="E15" s="472"/>
      <c r="F15" s="472">
        <f>D15-E15</f>
        <v>601501.59</v>
      </c>
      <c r="H15" s="18"/>
    </row>
    <row r="16" spans="2:8" ht="39.6" customHeight="1" x14ac:dyDescent="0.25">
      <c r="B16" s="474" t="s">
        <v>308</v>
      </c>
      <c r="C16" s="471" t="s">
        <v>309</v>
      </c>
      <c r="D16" s="472">
        <v>608783.95000000007</v>
      </c>
      <c r="E16" s="472"/>
      <c r="F16" s="472">
        <f>D16-E16</f>
        <v>608783.95000000007</v>
      </c>
      <c r="H16" s="18"/>
    </row>
    <row r="17" spans="2:9" ht="39.6" customHeight="1" x14ac:dyDescent="0.25">
      <c r="B17" s="474" t="s">
        <v>310</v>
      </c>
      <c r="C17" s="471" t="s">
        <v>311</v>
      </c>
      <c r="D17" s="472">
        <v>814702.41</v>
      </c>
      <c r="E17" s="472">
        <f>60932.32+89366.58+114703.52+206038.52+116814.12+162730.25+64117.1</f>
        <v>814702.40999999992</v>
      </c>
      <c r="F17" s="472">
        <f t="shared" ref="F17:F29" si="1">D17-E17</f>
        <v>0</v>
      </c>
      <c r="H17" s="18"/>
      <c r="I17" s="28"/>
    </row>
    <row r="18" spans="2:9" ht="39.6" customHeight="1" x14ac:dyDescent="0.25">
      <c r="B18" s="474" t="s">
        <v>312</v>
      </c>
      <c r="C18" s="471" t="s">
        <v>313</v>
      </c>
      <c r="D18" s="472">
        <v>104068.5</v>
      </c>
      <c r="E18" s="472">
        <v>91558.03</v>
      </c>
      <c r="F18" s="472">
        <f t="shared" si="1"/>
        <v>12510.470000000001</v>
      </c>
      <c r="H18" s="18"/>
    </row>
    <row r="19" spans="2:9" ht="39.6" customHeight="1" x14ac:dyDescent="0.25">
      <c r="B19" s="475" t="s">
        <v>314</v>
      </c>
      <c r="C19" s="471" t="s">
        <v>315</v>
      </c>
      <c r="D19" s="472">
        <v>5506.4100000000108</v>
      </c>
      <c r="E19" s="472"/>
      <c r="F19" s="473">
        <f t="shared" si="1"/>
        <v>5506.4100000000108</v>
      </c>
      <c r="H19" s="18"/>
    </row>
    <row r="20" spans="2:9" ht="39.6" customHeight="1" x14ac:dyDescent="0.25">
      <c r="B20" s="474" t="s">
        <v>316</v>
      </c>
      <c r="C20" s="471" t="s">
        <v>317</v>
      </c>
      <c r="D20" s="472">
        <v>499058.10999999993</v>
      </c>
      <c r="E20" s="472"/>
      <c r="F20" s="472">
        <f t="shared" si="1"/>
        <v>499058.10999999993</v>
      </c>
      <c r="H20" s="18"/>
    </row>
    <row r="21" spans="2:9" ht="39.6" customHeight="1" x14ac:dyDescent="0.25">
      <c r="B21" s="474" t="s">
        <v>318</v>
      </c>
      <c r="C21" s="471" t="s">
        <v>319</v>
      </c>
      <c r="D21" s="472">
        <v>639569.22</v>
      </c>
      <c r="E21" s="472">
        <v>46161.86</v>
      </c>
      <c r="F21" s="472">
        <f t="shared" si="1"/>
        <v>593407.36</v>
      </c>
      <c r="H21" s="18"/>
      <c r="I21" s="112"/>
    </row>
    <row r="22" spans="2:9" ht="39.6" customHeight="1" x14ac:dyDescent="0.25">
      <c r="B22" s="474" t="s">
        <v>320</v>
      </c>
      <c r="C22" s="471" t="s">
        <v>321</v>
      </c>
      <c r="D22" s="472">
        <v>851941.5199999999</v>
      </c>
      <c r="E22" s="472">
        <f>67011.97+323371.84+273564.81</f>
        <v>663948.62000000011</v>
      </c>
      <c r="F22" s="472">
        <f t="shared" si="1"/>
        <v>187992.89999999979</v>
      </c>
      <c r="H22" s="18"/>
    </row>
    <row r="23" spans="2:9" ht="39.6" customHeight="1" x14ac:dyDescent="0.25">
      <c r="B23" s="474" t="s">
        <v>322</v>
      </c>
      <c r="C23" s="471" t="s">
        <v>323</v>
      </c>
      <c r="D23" s="472">
        <v>537913.55000000005</v>
      </c>
      <c r="E23" s="472">
        <f>120419.27+411350.52</f>
        <v>531769.79</v>
      </c>
      <c r="F23" s="472">
        <f t="shared" si="1"/>
        <v>6143.7600000000093</v>
      </c>
      <c r="H23" s="18"/>
    </row>
    <row r="24" spans="2:9" ht="45.75" customHeight="1" x14ac:dyDescent="0.25">
      <c r="B24" s="474" t="s">
        <v>324</v>
      </c>
      <c r="C24" s="471" t="s">
        <v>325</v>
      </c>
      <c r="D24" s="472">
        <v>811013.05000000016</v>
      </c>
      <c r="E24" s="472">
        <f>46165.68+60453.88+61520.11+146866.88+496006.5</f>
        <v>811013.05</v>
      </c>
      <c r="F24" s="472">
        <f t="shared" si="1"/>
        <v>0</v>
      </c>
      <c r="H24" s="18"/>
    </row>
    <row r="25" spans="2:9" ht="31.5" x14ac:dyDescent="0.25">
      <c r="B25" s="474" t="s">
        <v>326</v>
      </c>
      <c r="C25" s="471" t="s">
        <v>327</v>
      </c>
      <c r="D25" s="472">
        <v>1762344.18</v>
      </c>
      <c r="E25" s="472">
        <f>235574.08+226712.69+213416.11+229506.01+236973.83</f>
        <v>1142182.72</v>
      </c>
      <c r="F25" s="472">
        <f t="shared" si="1"/>
        <v>620161.46</v>
      </c>
      <c r="H25" s="18"/>
    </row>
    <row r="26" spans="2:9" ht="39.6" customHeight="1" x14ac:dyDescent="0.25">
      <c r="B26" s="474" t="s">
        <v>328</v>
      </c>
      <c r="C26" s="471" t="s">
        <v>329</v>
      </c>
      <c r="D26" s="472">
        <v>942080.79</v>
      </c>
      <c r="E26" s="472">
        <f>60579.28+105283.77</f>
        <v>165863.04999999999</v>
      </c>
      <c r="F26" s="472">
        <f t="shared" si="1"/>
        <v>776217.74</v>
      </c>
      <c r="H26" s="18"/>
    </row>
    <row r="27" spans="2:9" ht="39.6" customHeight="1" x14ac:dyDescent="0.25">
      <c r="B27" s="475" t="s">
        <v>314</v>
      </c>
      <c r="C27" s="471" t="s">
        <v>330</v>
      </c>
      <c r="D27" s="472">
        <v>2257548</v>
      </c>
      <c r="E27" s="472">
        <f>301624.06+330236.89+273097.18+150481.58+238893.34+241462.29+302629.52</f>
        <v>1838424.86</v>
      </c>
      <c r="F27" s="472">
        <f t="shared" si="1"/>
        <v>419123.1399999999</v>
      </c>
      <c r="H27" s="18"/>
    </row>
    <row r="28" spans="2:9" ht="39.6" customHeight="1" x14ac:dyDescent="0.25">
      <c r="B28" s="474" t="s">
        <v>314</v>
      </c>
      <c r="C28" s="471" t="s">
        <v>331</v>
      </c>
      <c r="D28" s="472">
        <v>1640362.07</v>
      </c>
      <c r="E28" s="472">
        <f>564682.61+149772.01+168279.13+347104.04+3000+407524.28</f>
        <v>1640362.07</v>
      </c>
      <c r="F28" s="472">
        <f t="shared" si="1"/>
        <v>0</v>
      </c>
      <c r="H28" s="18"/>
    </row>
    <row r="29" spans="2:9" ht="49.5" customHeight="1" x14ac:dyDescent="0.25">
      <c r="B29" s="474" t="s">
        <v>332</v>
      </c>
      <c r="C29" s="471" t="s">
        <v>333</v>
      </c>
      <c r="D29" s="472">
        <v>485158.58</v>
      </c>
      <c r="E29" s="472"/>
      <c r="F29" s="472">
        <f t="shared" si="1"/>
        <v>485158.58</v>
      </c>
      <c r="H29" s="18"/>
    </row>
    <row r="30" spans="2:9" ht="39.6" customHeight="1" x14ac:dyDescent="0.25">
      <c r="B30" s="475" t="s">
        <v>334</v>
      </c>
      <c r="C30" s="476" t="s">
        <v>335</v>
      </c>
      <c r="D30" s="472">
        <v>1718395.94</v>
      </c>
      <c r="E30" s="472">
        <f>640523.72+514814.38+266421.49</f>
        <v>1421759.59</v>
      </c>
      <c r="F30" s="472">
        <f t="shared" ref="F30:F36" si="2">D30-E30</f>
        <v>296636.34999999986</v>
      </c>
      <c r="H30" s="18"/>
    </row>
    <row r="31" spans="2:9" ht="39.6" customHeight="1" x14ac:dyDescent="0.25">
      <c r="B31" s="477" t="s">
        <v>336</v>
      </c>
      <c r="C31" s="476" t="s">
        <v>337</v>
      </c>
      <c r="D31" s="472">
        <v>1168921.01</v>
      </c>
      <c r="E31" s="472">
        <f>369830.56+623527.83</f>
        <v>993358.3899999999</v>
      </c>
      <c r="F31" s="472">
        <f t="shared" si="2"/>
        <v>175562.62000000011</v>
      </c>
      <c r="H31" s="18"/>
    </row>
    <row r="32" spans="2:9" ht="39.6" customHeight="1" x14ac:dyDescent="0.25">
      <c r="B32" s="477" t="s">
        <v>338</v>
      </c>
      <c r="C32" s="476" t="s">
        <v>339</v>
      </c>
      <c r="D32" s="472">
        <v>939063.12</v>
      </c>
      <c r="E32" s="472">
        <f>306503.37+472144.9+160414.85</f>
        <v>939063.12</v>
      </c>
      <c r="F32" s="472">
        <f t="shared" si="2"/>
        <v>0</v>
      </c>
      <c r="H32" s="18"/>
      <c r="I32" s="28"/>
    </row>
    <row r="33" spans="2:8" ht="39.6" customHeight="1" x14ac:dyDescent="0.25">
      <c r="B33" s="477" t="s">
        <v>340</v>
      </c>
      <c r="C33" s="476" t="s">
        <v>341</v>
      </c>
      <c r="D33" s="472">
        <v>1252298.3899999999</v>
      </c>
      <c r="E33" s="472">
        <f>292101.94+357646.09+328346.97+81497.03</f>
        <v>1059592.03</v>
      </c>
      <c r="F33" s="472">
        <f t="shared" si="2"/>
        <v>192706.35999999987</v>
      </c>
      <c r="H33" s="18">
        <v>81497.039999999994</v>
      </c>
    </row>
    <row r="34" spans="2:8" ht="59.25" customHeight="1" x14ac:dyDescent="0.25">
      <c r="B34" s="477" t="s">
        <v>342</v>
      </c>
      <c r="C34" s="476" t="s">
        <v>622</v>
      </c>
      <c r="D34" s="472">
        <v>1736309.42</v>
      </c>
      <c r="E34" s="472">
        <f>1920270.65-666377.45+384440.57</f>
        <v>1638333.77</v>
      </c>
      <c r="F34" s="472">
        <f t="shared" si="2"/>
        <v>97975.649999999907</v>
      </c>
      <c r="H34" s="18"/>
    </row>
    <row r="35" spans="2:8" ht="43.5" customHeight="1" x14ac:dyDescent="0.25">
      <c r="B35" s="477" t="s">
        <v>336</v>
      </c>
      <c r="C35" s="476" t="s">
        <v>621</v>
      </c>
      <c r="D35" s="472">
        <v>232924.81</v>
      </c>
      <c r="E35" s="472">
        <v>0</v>
      </c>
      <c r="F35" s="472">
        <f t="shared" si="2"/>
        <v>232924.81</v>
      </c>
      <c r="H35" s="18"/>
    </row>
    <row r="36" spans="2:8" ht="53.25" customHeight="1" x14ac:dyDescent="0.4">
      <c r="B36" s="477" t="s">
        <v>342</v>
      </c>
      <c r="C36" s="476" t="s">
        <v>620</v>
      </c>
      <c r="D36" s="478">
        <v>186534.47</v>
      </c>
      <c r="E36" s="478">
        <f>157294.6+97975.65</f>
        <v>255270.25</v>
      </c>
      <c r="F36" s="478">
        <f t="shared" si="2"/>
        <v>-68735.78</v>
      </c>
      <c r="H36" s="18">
        <v>97975.65</v>
      </c>
    </row>
    <row r="37" spans="2:8" ht="29.25" customHeight="1" x14ac:dyDescent="0.4">
      <c r="B37" s="113"/>
      <c r="C37" s="124" t="s">
        <v>343</v>
      </c>
      <c r="D37" s="88">
        <f>SUM(D10:D36)</f>
        <v>21214208.120000001</v>
      </c>
      <c r="E37" s="88">
        <f>SUM(E10:E36)</f>
        <v>14081309.41</v>
      </c>
      <c r="F37" s="88">
        <f>SUM(F10:F36)</f>
        <v>7132898.709999999</v>
      </c>
      <c r="H37" s="2"/>
    </row>
    <row r="38" spans="2:8" ht="21.75" customHeight="1" x14ac:dyDescent="0.25">
      <c r="B38" s="113"/>
      <c r="C38" s="113"/>
      <c r="D38" s="87"/>
      <c r="E38" s="87"/>
      <c r="F38" s="87"/>
      <c r="H38" s="18"/>
    </row>
    <row r="39" spans="2:8" x14ac:dyDescent="0.25">
      <c r="H39" s="18"/>
    </row>
    <row r="40" spans="2:8" x14ac:dyDescent="0.25">
      <c r="H40" s="18"/>
    </row>
    <row r="41" spans="2:8" x14ac:dyDescent="0.25">
      <c r="C41" s="114" t="s">
        <v>344</v>
      </c>
      <c r="H41" s="18"/>
    </row>
    <row r="42" spans="2:8" x14ac:dyDescent="0.25">
      <c r="C42" s="2"/>
    </row>
    <row r="43" spans="2:8" x14ac:dyDescent="0.25">
      <c r="C43" s="541"/>
      <c r="D43" s="540"/>
      <c r="G43" s="539"/>
    </row>
    <row r="44" spans="2:8" x14ac:dyDescent="0.25">
      <c r="C44" s="541"/>
      <c r="D44" s="540"/>
      <c r="G44" s="539"/>
    </row>
    <row r="54" spans="6:6" x14ac:dyDescent="0.25">
      <c r="F54" s="2">
        <v>0</v>
      </c>
    </row>
  </sheetData>
  <mergeCells count="8">
    <mergeCell ref="B5:F5"/>
    <mergeCell ref="B10:B11"/>
    <mergeCell ref="B1:F1"/>
    <mergeCell ref="B3:F3"/>
    <mergeCell ref="B8:C9"/>
    <mergeCell ref="B4:F4"/>
    <mergeCell ref="B6:F6"/>
    <mergeCell ref="E8:E9"/>
  </mergeCells>
  <phoneticPr fontId="59" type="noConversion"/>
  <pageMargins left="0.35433070866141736" right="0.74803149606299213" top="0.98425196850393704" bottom="0.98425196850393704" header="0" footer="0"/>
  <pageSetup paperSize="9" scale="4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6"/>
  <sheetViews>
    <sheetView topLeftCell="A13" zoomScale="110" zoomScaleNormal="110" workbookViewId="0">
      <selection activeCell="H33" sqref="H33"/>
    </sheetView>
  </sheetViews>
  <sheetFormatPr baseColWidth="10" defaultColWidth="11.5703125" defaultRowHeight="24.75" customHeight="1" x14ac:dyDescent="0.25"/>
  <cols>
    <col min="1" max="1" width="4.7109375" style="116" customWidth="1"/>
    <col min="2" max="2" width="14.28515625" style="116" customWidth="1"/>
    <col min="3" max="3" width="16.28515625" style="116" customWidth="1"/>
    <col min="4" max="4" width="50.85546875" style="116" customWidth="1"/>
    <col min="5" max="5" width="18.5703125" style="116" bestFit="1" customWidth="1"/>
    <col min="6" max="6" width="16.42578125" style="116" bestFit="1" customWidth="1"/>
    <col min="7" max="7" width="3.28515625" style="116" customWidth="1"/>
    <col min="8" max="8" width="15.140625" style="116" customWidth="1"/>
    <col min="9" max="9" width="14.5703125" style="116" bestFit="1" customWidth="1"/>
    <col min="10" max="16384" width="11.5703125" style="116"/>
  </cols>
  <sheetData>
    <row r="1" spans="1:8" ht="24.75" customHeight="1" x14ac:dyDescent="0.25">
      <c r="A1" s="1"/>
      <c r="B1" s="1"/>
      <c r="C1" s="1"/>
      <c r="D1" s="1"/>
      <c r="E1" s="2"/>
      <c r="F1" s="1"/>
    </row>
    <row r="2" spans="1:8" ht="24.75" customHeight="1" x14ac:dyDescent="0.25">
      <c r="A2" s="1"/>
      <c r="B2" s="625"/>
      <c r="C2" s="625"/>
      <c r="D2" s="625"/>
      <c r="E2" s="625"/>
      <c r="F2" s="625"/>
    </row>
    <row r="3" spans="1:8" ht="24.75" customHeight="1" x14ac:dyDescent="0.25">
      <c r="A3" s="1"/>
      <c r="B3" s="625" t="s">
        <v>288</v>
      </c>
      <c r="C3" s="625"/>
      <c r="D3" s="625"/>
      <c r="E3" s="625"/>
      <c r="F3" s="625"/>
    </row>
    <row r="4" spans="1:8" ht="24.75" customHeight="1" x14ac:dyDescent="0.25">
      <c r="A4" s="1"/>
      <c r="B4" s="625" t="s">
        <v>268</v>
      </c>
      <c r="C4" s="625"/>
      <c r="D4" s="625"/>
      <c r="E4" s="625"/>
      <c r="F4" s="625"/>
    </row>
    <row r="5" spans="1:8" ht="24.75" customHeight="1" x14ac:dyDescent="0.25">
      <c r="A5" s="1"/>
      <c r="B5" s="625" t="s">
        <v>345</v>
      </c>
      <c r="C5" s="625"/>
      <c r="D5" s="625"/>
      <c r="E5" s="625"/>
      <c r="F5" s="625"/>
    </row>
    <row r="6" spans="1:8" ht="24.75" customHeight="1" x14ac:dyDescent="0.25">
      <c r="A6" s="1"/>
      <c r="B6" s="635">
        <v>45808</v>
      </c>
      <c r="C6" s="635"/>
      <c r="D6" s="635"/>
      <c r="E6" s="635"/>
      <c r="F6" s="635"/>
    </row>
    <row r="7" spans="1:8" ht="24.75" customHeight="1" thickBot="1" x14ac:dyDescent="0.3">
      <c r="A7" s="1"/>
      <c r="B7" s="1"/>
      <c r="C7" s="1"/>
      <c r="D7" s="45"/>
      <c r="E7" s="45"/>
      <c r="F7" s="1"/>
    </row>
    <row r="8" spans="1:8" ht="24.75" customHeight="1" thickBot="1" x14ac:dyDescent="0.3">
      <c r="A8" s="1"/>
      <c r="B8" s="117" t="s">
        <v>346</v>
      </c>
      <c r="C8" s="118" t="s">
        <v>347</v>
      </c>
      <c r="D8" s="69" t="s">
        <v>348</v>
      </c>
      <c r="E8" s="69" t="s">
        <v>349</v>
      </c>
      <c r="F8" s="70" t="s">
        <v>350</v>
      </c>
    </row>
    <row r="9" spans="1:8" ht="24.75" customHeight="1" x14ac:dyDescent="0.25">
      <c r="A9" s="1"/>
      <c r="B9" s="119">
        <v>44042</v>
      </c>
      <c r="C9" s="120">
        <v>36759</v>
      </c>
      <c r="D9" s="57" t="s">
        <v>351</v>
      </c>
      <c r="E9" s="111">
        <v>320878.34000000003</v>
      </c>
      <c r="F9" s="120" t="s">
        <v>352</v>
      </c>
    </row>
    <row r="10" spans="1:8" ht="24.75" customHeight="1" x14ac:dyDescent="0.25">
      <c r="A10" s="1"/>
      <c r="B10" s="121">
        <v>44042</v>
      </c>
      <c r="C10" s="122">
        <v>36760</v>
      </c>
      <c r="D10" s="57" t="s">
        <v>351</v>
      </c>
      <c r="E10" s="87">
        <v>320878.34000000003</v>
      </c>
      <c r="F10" s="122" t="s">
        <v>352</v>
      </c>
    </row>
    <row r="11" spans="1:8" ht="24.75" customHeight="1" x14ac:dyDescent="0.25">
      <c r="A11" s="1"/>
      <c r="B11" s="121">
        <v>44042</v>
      </c>
      <c r="C11" s="122">
        <v>36762</v>
      </c>
      <c r="D11" s="57" t="s">
        <v>351</v>
      </c>
      <c r="E11" s="87">
        <v>261614.87</v>
      </c>
      <c r="F11" s="122" t="s">
        <v>352</v>
      </c>
    </row>
    <row r="12" spans="1:8" ht="24.75" customHeight="1" x14ac:dyDescent="0.25">
      <c r="A12" s="1"/>
      <c r="B12" s="121">
        <v>44042</v>
      </c>
      <c r="C12" s="122">
        <v>36763</v>
      </c>
      <c r="D12" s="57" t="s">
        <v>351</v>
      </c>
      <c r="E12" s="87">
        <v>636759.86</v>
      </c>
      <c r="F12" s="122" t="s">
        <v>352</v>
      </c>
    </row>
    <row r="13" spans="1:8" ht="24.75" customHeight="1" x14ac:dyDescent="0.25">
      <c r="A13" s="1"/>
      <c r="B13" s="121">
        <v>44042</v>
      </c>
      <c r="C13" s="122">
        <v>36765</v>
      </c>
      <c r="D13" s="57" t="s">
        <v>351</v>
      </c>
      <c r="E13" s="87">
        <v>636759.86</v>
      </c>
      <c r="F13" s="122" t="s">
        <v>352</v>
      </c>
    </row>
    <row r="14" spans="1:8" ht="24.75" customHeight="1" x14ac:dyDescent="0.25">
      <c r="A14" s="1"/>
      <c r="B14" s="121">
        <v>44042</v>
      </c>
      <c r="C14" s="122">
        <v>36766</v>
      </c>
      <c r="D14" s="57" t="s">
        <v>351</v>
      </c>
      <c r="E14" s="87">
        <v>282294.27</v>
      </c>
      <c r="F14" s="122" t="s">
        <v>352</v>
      </c>
    </row>
    <row r="15" spans="1:8" ht="24.75" hidden="1" customHeight="1" x14ac:dyDescent="0.25">
      <c r="A15" s="1"/>
      <c r="B15" s="121">
        <v>44894</v>
      </c>
      <c r="C15" s="122">
        <v>38855</v>
      </c>
      <c r="D15" s="57" t="s">
        <v>353</v>
      </c>
      <c r="E15" s="87"/>
      <c r="F15" s="122" t="s">
        <v>352</v>
      </c>
      <c r="H15" s="126">
        <v>5149638</v>
      </c>
    </row>
    <row r="16" spans="1:8" ht="22.5" hidden="1" customHeight="1" x14ac:dyDescent="0.25">
      <c r="A16" s="1"/>
      <c r="B16" s="121">
        <v>45043</v>
      </c>
      <c r="C16" s="122">
        <v>39088</v>
      </c>
      <c r="D16" s="57" t="s">
        <v>354</v>
      </c>
      <c r="E16" s="87"/>
      <c r="F16" s="122" t="s">
        <v>352</v>
      </c>
    </row>
    <row r="17" spans="1:9" ht="22.5" hidden="1" customHeight="1" x14ac:dyDescent="0.25">
      <c r="A17" s="1"/>
      <c r="B17" s="121">
        <v>45049</v>
      </c>
      <c r="C17" s="122">
        <v>39106</v>
      </c>
      <c r="D17" s="57" t="s">
        <v>353</v>
      </c>
      <c r="E17" s="87"/>
      <c r="F17" s="122" t="s">
        <v>352</v>
      </c>
      <c r="H17" s="126">
        <v>7724457</v>
      </c>
    </row>
    <row r="18" spans="1:9" ht="24.75" customHeight="1" x14ac:dyDescent="0.25">
      <c r="A18" s="1"/>
      <c r="B18" s="121">
        <v>45561</v>
      </c>
      <c r="C18" s="122">
        <v>39875</v>
      </c>
      <c r="D18" s="57" t="s">
        <v>355</v>
      </c>
      <c r="E18" s="87">
        <v>296100</v>
      </c>
      <c r="F18" s="122" t="s">
        <v>352</v>
      </c>
      <c r="H18" s="126"/>
    </row>
    <row r="19" spans="1:9" ht="24.75" customHeight="1" x14ac:dyDescent="0.25">
      <c r="A19" s="1"/>
      <c r="B19" s="121">
        <v>45603</v>
      </c>
      <c r="C19" s="122">
        <v>39919</v>
      </c>
      <c r="D19" s="57" t="s">
        <v>356</v>
      </c>
      <c r="E19" s="87">
        <v>370125</v>
      </c>
      <c r="F19" s="122" t="s">
        <v>352</v>
      </c>
      <c r="H19" s="126"/>
      <c r="I19" s="126"/>
    </row>
    <row r="20" spans="1:9" ht="24.75" customHeight="1" x14ac:dyDescent="0.25">
      <c r="A20" s="1"/>
      <c r="B20" s="121">
        <v>45699</v>
      </c>
      <c r="C20" s="122">
        <v>39997</v>
      </c>
      <c r="D20" s="57" t="s">
        <v>356</v>
      </c>
      <c r="E20" s="87">
        <v>370125</v>
      </c>
      <c r="F20" s="122" t="s">
        <v>352</v>
      </c>
      <c r="H20" s="126"/>
      <c r="I20" s="126"/>
    </row>
    <row r="21" spans="1:9" ht="24.75" customHeight="1" x14ac:dyDescent="0.25">
      <c r="A21" s="1"/>
      <c r="B21" s="121">
        <v>45681</v>
      </c>
      <c r="C21" s="122">
        <v>39988</v>
      </c>
      <c r="D21" s="481" t="s">
        <v>736</v>
      </c>
      <c r="E21" s="87">
        <v>260081.38</v>
      </c>
      <c r="F21" s="122" t="s">
        <v>352</v>
      </c>
      <c r="H21" s="126"/>
    </row>
    <row r="22" spans="1:9" ht="24.75" customHeight="1" x14ac:dyDescent="0.4">
      <c r="A22" s="1"/>
      <c r="B22" s="121">
        <v>45756</v>
      </c>
      <c r="C22" s="122">
        <v>40041</v>
      </c>
      <c r="D22" s="481" t="s">
        <v>868</v>
      </c>
      <c r="E22" s="115">
        <v>636029.56999999995</v>
      </c>
      <c r="F22" s="122" t="s">
        <v>352</v>
      </c>
      <c r="H22" s="126"/>
    </row>
    <row r="23" spans="1:9" ht="24.75" customHeight="1" x14ac:dyDescent="0.4">
      <c r="A23" s="1"/>
      <c r="B23" s="113"/>
      <c r="C23" s="113"/>
      <c r="D23" s="124" t="s">
        <v>343</v>
      </c>
      <c r="E23" s="125">
        <f>SUM(E9:E22)</f>
        <v>4391646.49</v>
      </c>
      <c r="F23" s="113"/>
      <c r="H23" s="126"/>
    </row>
    <row r="24" spans="1:9" ht="6.75" customHeight="1" x14ac:dyDescent="0.25">
      <c r="A24" s="1"/>
      <c r="B24" s="113"/>
      <c r="C24" s="113"/>
      <c r="D24" s="113"/>
      <c r="E24" s="87"/>
      <c r="F24" s="113"/>
      <c r="H24" s="127"/>
      <c r="I24" s="123"/>
    </row>
    <row r="25" spans="1:9" ht="24.75" customHeight="1" x14ac:dyDescent="0.25">
      <c r="A25" s="1"/>
      <c r="B25" s="1"/>
      <c r="C25" s="1"/>
      <c r="D25" s="15"/>
      <c r="E25" s="327"/>
      <c r="F25" s="28"/>
      <c r="H25" s="127"/>
    </row>
    <row r="26" spans="1:9" ht="24.75" customHeight="1" x14ac:dyDescent="0.25">
      <c r="A26" s="1"/>
      <c r="B26" s="1"/>
      <c r="C26" s="1"/>
      <c r="D26" s="128" t="s">
        <v>357</v>
      </c>
      <c r="E26" s="126"/>
      <c r="F26" s="1"/>
      <c r="H26" s="126"/>
    </row>
  </sheetData>
  <mergeCells count="5">
    <mergeCell ref="B2:F2"/>
    <mergeCell ref="B3:F3"/>
    <mergeCell ref="B4:F4"/>
    <mergeCell ref="B5:F5"/>
    <mergeCell ref="B6:F6"/>
  </mergeCells>
  <phoneticPr fontId="67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C11"/>
  <sheetViews>
    <sheetView topLeftCell="A4" workbookViewId="0">
      <selection activeCell="H33" sqref="H33"/>
    </sheetView>
  </sheetViews>
  <sheetFormatPr baseColWidth="10" defaultColWidth="11.42578125" defaultRowHeight="24.75" customHeight="1" x14ac:dyDescent="0.2"/>
  <cols>
    <col min="1" max="1" width="5.140625" style="127" customWidth="1"/>
    <col min="2" max="2" width="52" style="127" customWidth="1"/>
    <col min="3" max="3" width="25" style="127" customWidth="1"/>
    <col min="4" max="4" width="24.5703125" style="127" customWidth="1"/>
    <col min="5" max="16384" width="11.42578125" style="127"/>
  </cols>
  <sheetData>
    <row r="4" spans="2:3" ht="24.75" customHeight="1" x14ac:dyDescent="0.25">
      <c r="B4" s="625" t="s">
        <v>288</v>
      </c>
      <c r="C4" s="625"/>
    </row>
    <row r="5" spans="2:3" ht="24.75" customHeight="1" x14ac:dyDescent="0.25">
      <c r="B5" s="625" t="s">
        <v>268</v>
      </c>
      <c r="C5" s="625"/>
    </row>
    <row r="6" spans="2:3" ht="24.75" customHeight="1" x14ac:dyDescent="0.25">
      <c r="B6" s="625" t="s">
        <v>289</v>
      </c>
      <c r="C6" s="625"/>
    </row>
    <row r="7" spans="2:3" ht="24.75" customHeight="1" x14ac:dyDescent="0.25">
      <c r="B7" s="635">
        <v>45808</v>
      </c>
      <c r="C7" s="635"/>
    </row>
    <row r="8" spans="2:3" ht="24.75" customHeight="1" thickBot="1" x14ac:dyDescent="0.3">
      <c r="B8" s="1"/>
      <c r="C8" s="1"/>
    </row>
    <row r="9" spans="2:3" ht="24.75" customHeight="1" x14ac:dyDescent="0.25">
      <c r="B9" s="340" t="s">
        <v>254</v>
      </c>
      <c r="C9" s="154" t="s">
        <v>271</v>
      </c>
    </row>
    <row r="10" spans="2:3" ht="24.75" customHeight="1" x14ac:dyDescent="0.3">
      <c r="B10" s="341" t="s">
        <v>358</v>
      </c>
      <c r="C10" s="342">
        <v>0</v>
      </c>
    </row>
    <row r="11" spans="2:3" ht="24.75" customHeight="1" thickBot="1" x14ac:dyDescent="0.35">
      <c r="B11" s="129" t="s">
        <v>287</v>
      </c>
      <c r="C11" s="130">
        <f>SUM(C10:C10)</f>
        <v>0</v>
      </c>
    </row>
  </sheetData>
  <mergeCells count="4"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"/>
  <sheetViews>
    <sheetView topLeftCell="A4" workbookViewId="0">
      <selection activeCell="H33" sqref="H33"/>
    </sheetView>
  </sheetViews>
  <sheetFormatPr baseColWidth="10" defaultColWidth="11.42578125" defaultRowHeight="24.75" customHeight="1" x14ac:dyDescent="0.2"/>
  <cols>
    <col min="1" max="1" width="6.140625" style="127" customWidth="1"/>
    <col min="2" max="2" width="35.28515625" style="127" customWidth="1"/>
    <col min="3" max="3" width="17" style="127" hidden="1" customWidth="1"/>
    <col min="4" max="4" width="18.42578125" style="127" hidden="1" customWidth="1"/>
    <col min="5" max="5" width="19.5703125" style="127" customWidth="1"/>
    <col min="6" max="6" width="13.85546875" style="127" customWidth="1"/>
    <col min="7" max="7" width="18" style="127" customWidth="1"/>
    <col min="8" max="8" width="24.28515625" style="127" customWidth="1"/>
    <col min="9" max="9" width="16.42578125" style="127" customWidth="1"/>
    <col min="10" max="16384" width="11.42578125" style="127"/>
  </cols>
  <sheetData>
    <row r="1" spans="1:11" ht="24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24.7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24.75" customHeight="1" x14ac:dyDescent="0.25">
      <c r="A3" s="644" t="s">
        <v>288</v>
      </c>
      <c r="B3" s="644"/>
      <c r="C3" s="644"/>
      <c r="D3" s="644"/>
      <c r="E3" s="644"/>
      <c r="F3" s="644"/>
      <c r="G3" s="644"/>
      <c r="H3" s="644"/>
      <c r="I3" s="644"/>
    </row>
    <row r="4" spans="1:11" ht="24.75" customHeight="1" x14ac:dyDescent="0.25">
      <c r="A4" s="644" t="s">
        <v>359</v>
      </c>
      <c r="B4" s="644"/>
      <c r="C4" s="644"/>
      <c r="D4" s="644"/>
      <c r="E4" s="644"/>
      <c r="F4" s="644"/>
      <c r="G4" s="644"/>
      <c r="H4" s="644"/>
      <c r="I4" s="644"/>
    </row>
    <row r="5" spans="1:11" ht="24.75" customHeight="1" x14ac:dyDescent="0.25">
      <c r="A5" s="644" t="s">
        <v>360</v>
      </c>
      <c r="B5" s="644"/>
      <c r="C5" s="644"/>
      <c r="D5" s="644"/>
      <c r="E5" s="644"/>
      <c r="F5" s="644"/>
      <c r="G5" s="644"/>
      <c r="H5" s="644"/>
      <c r="I5" s="644"/>
    </row>
    <row r="6" spans="1:11" ht="24.75" customHeight="1" x14ac:dyDescent="0.25">
      <c r="A6" s="645">
        <v>45808</v>
      </c>
      <c r="B6" s="645"/>
      <c r="C6" s="645"/>
      <c r="D6" s="645"/>
      <c r="E6" s="645"/>
      <c r="F6" s="645"/>
      <c r="G6" s="645"/>
      <c r="H6" s="645"/>
      <c r="I6" s="645"/>
    </row>
    <row r="7" spans="1:11" ht="24.75" customHeight="1" thickBot="1" x14ac:dyDescent="0.3">
      <c r="A7" s="63"/>
      <c r="B7" s="131"/>
      <c r="C7" s="63"/>
      <c r="D7" s="63"/>
      <c r="E7" s="63"/>
      <c r="F7" s="578"/>
      <c r="G7" s="63"/>
      <c r="H7" s="63"/>
      <c r="I7" s="63"/>
    </row>
    <row r="8" spans="1:11" ht="48" thickBot="1" x14ac:dyDescent="0.25">
      <c r="A8" s="132" t="s">
        <v>361</v>
      </c>
      <c r="B8" s="133" t="s">
        <v>362</v>
      </c>
      <c r="C8" s="133" t="s">
        <v>363</v>
      </c>
      <c r="D8" s="133" t="s">
        <v>364</v>
      </c>
      <c r="E8" s="134" t="s">
        <v>365</v>
      </c>
      <c r="F8" s="134" t="s">
        <v>366</v>
      </c>
      <c r="G8" s="134" t="s">
        <v>367</v>
      </c>
      <c r="H8" s="134" t="s">
        <v>368</v>
      </c>
      <c r="I8" s="135" t="s">
        <v>369</v>
      </c>
    </row>
    <row r="9" spans="1:11" s="1" customFormat="1" ht="25.5" customHeight="1" x14ac:dyDescent="0.25">
      <c r="A9" s="136">
        <v>1</v>
      </c>
      <c r="B9" s="137" t="s">
        <v>735</v>
      </c>
      <c r="C9" s="138" t="s">
        <v>370</v>
      </c>
      <c r="D9" s="137" t="s">
        <v>371</v>
      </c>
      <c r="E9" s="573">
        <v>87795</v>
      </c>
      <c r="F9" s="138">
        <v>10</v>
      </c>
      <c r="G9" s="573">
        <v>5000</v>
      </c>
      <c r="H9" s="573">
        <f>5000+5000+5000+20000+5000</f>
        <v>40000</v>
      </c>
      <c r="I9" s="574">
        <f>+E9-H9</f>
        <v>47795</v>
      </c>
    </row>
    <row r="10" spans="1:11" s="1" customFormat="1" ht="25.5" customHeight="1" x14ac:dyDescent="0.4">
      <c r="A10" s="136">
        <v>2</v>
      </c>
      <c r="B10" s="137" t="s">
        <v>867</v>
      </c>
      <c r="C10" s="138"/>
      <c r="D10" s="137"/>
      <c r="E10" s="139">
        <v>7695</v>
      </c>
      <c r="F10" s="138">
        <v>5</v>
      </c>
      <c r="G10" s="139">
        <v>1539</v>
      </c>
      <c r="H10" s="139">
        <f>1539+1539+1539</f>
        <v>4617</v>
      </c>
      <c r="I10" s="140">
        <f>+E10-H10</f>
        <v>3078</v>
      </c>
    </row>
    <row r="11" spans="1:11" s="1" customFormat="1" ht="25.5" customHeight="1" x14ac:dyDescent="0.4">
      <c r="A11" s="86"/>
      <c r="B11" s="141" t="s">
        <v>343</v>
      </c>
      <c r="C11" s="137"/>
      <c r="D11" s="137"/>
      <c r="E11" s="142">
        <f>SUM(E9:E9)</f>
        <v>87795</v>
      </c>
      <c r="F11" s="143"/>
      <c r="G11" s="142">
        <f>SUM(G9:G10)</f>
        <v>6539</v>
      </c>
      <c r="H11" s="142">
        <f t="shared" ref="H11:I11" si="0">SUM(H9:H10)</f>
        <v>44617</v>
      </c>
      <c r="I11" s="144">
        <f t="shared" si="0"/>
        <v>50873</v>
      </c>
      <c r="K11" s="18"/>
    </row>
    <row r="12" spans="1:11" s="1" customFormat="1" ht="12" customHeight="1" thickBot="1" x14ac:dyDescent="0.45">
      <c r="A12" s="145"/>
      <c r="B12" s="146"/>
      <c r="C12" s="147"/>
      <c r="D12" s="148"/>
      <c r="E12" s="149"/>
      <c r="F12" s="150"/>
      <c r="G12" s="149"/>
      <c r="H12" s="149"/>
      <c r="I12" s="151"/>
    </row>
    <row r="13" spans="1:11" ht="24.7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1" ht="24.75" customHeight="1" x14ac:dyDescent="0.2">
      <c r="G14" s="152"/>
      <c r="H14" s="152"/>
      <c r="I14" s="152"/>
    </row>
    <row r="15" spans="1:11" ht="24.75" customHeight="1" x14ac:dyDescent="0.2">
      <c r="F15" s="152"/>
    </row>
    <row r="16" spans="1:11" ht="24.75" customHeight="1" x14ac:dyDescent="0.2">
      <c r="F16" s="152"/>
      <c r="I16" s="152"/>
    </row>
    <row r="17" spans="6:6" ht="24.75" customHeight="1" x14ac:dyDescent="0.2">
      <c r="F17" s="152"/>
    </row>
    <row r="18" spans="6:6" ht="24.75" customHeight="1" x14ac:dyDescent="0.2">
      <c r="F18" s="152"/>
    </row>
    <row r="19" spans="6:6" ht="24.75" customHeight="1" x14ac:dyDescent="0.2">
      <c r="F19" s="152"/>
    </row>
    <row r="20" spans="6:6" ht="24.75" customHeight="1" x14ac:dyDescent="0.2">
      <c r="F20" s="152"/>
    </row>
    <row r="21" spans="6:6" ht="24.75" customHeight="1" x14ac:dyDescent="0.2">
      <c r="F21" s="152"/>
    </row>
  </sheetData>
  <mergeCells count="4">
    <mergeCell ref="A3:I3"/>
    <mergeCell ref="A4:I4"/>
    <mergeCell ref="A5:I5"/>
    <mergeCell ref="A6:I6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4:G19"/>
  <sheetViews>
    <sheetView topLeftCell="A4" zoomScaleNormal="100" workbookViewId="0">
      <selection activeCell="H33" sqref="H33"/>
    </sheetView>
  </sheetViews>
  <sheetFormatPr baseColWidth="10" defaultColWidth="9.140625" defaultRowHeight="24.75" customHeight="1" x14ac:dyDescent="0.25"/>
  <cols>
    <col min="1" max="1" width="5.5703125" style="1" customWidth="1"/>
    <col min="2" max="2" width="39" style="1" customWidth="1"/>
    <col min="3" max="3" width="22.42578125" style="1" customWidth="1"/>
    <col min="4" max="4" width="15.7109375" style="1" bestFit="1" customWidth="1"/>
    <col min="5" max="5" width="15.85546875" style="1" customWidth="1"/>
    <col min="6" max="6" width="11.140625" style="1" bestFit="1" customWidth="1"/>
    <col min="7" max="7" width="12.7109375" style="1" bestFit="1" customWidth="1"/>
    <col min="8" max="9" width="9.140625" style="1"/>
    <col min="10" max="10" width="13.5703125" style="1" customWidth="1"/>
    <col min="11" max="11" width="9.140625" style="1"/>
    <col min="12" max="12" width="15.5703125" style="1" bestFit="1" customWidth="1"/>
    <col min="13" max="16384" width="9.140625" style="1"/>
  </cols>
  <sheetData>
    <row r="4" spans="2:7" ht="24.75" customHeight="1" x14ac:dyDescent="0.25">
      <c r="B4" s="625" t="s">
        <v>288</v>
      </c>
      <c r="C4" s="625"/>
    </row>
    <row r="5" spans="2:7" ht="24.75" customHeight="1" x14ac:dyDescent="0.25">
      <c r="B5" s="625" t="s">
        <v>268</v>
      </c>
      <c r="C5" s="625"/>
    </row>
    <row r="6" spans="2:7" ht="24.75" customHeight="1" x14ac:dyDescent="0.25">
      <c r="B6" s="625" t="s">
        <v>289</v>
      </c>
      <c r="C6" s="625"/>
    </row>
    <row r="7" spans="2:7" ht="24.75" customHeight="1" x14ac:dyDescent="0.25">
      <c r="B7" s="635">
        <v>45808</v>
      </c>
      <c r="C7" s="635"/>
      <c r="D7" s="47"/>
    </row>
    <row r="8" spans="2:7" ht="24.75" customHeight="1" thickBot="1" x14ac:dyDescent="0.3">
      <c r="D8" s="2"/>
    </row>
    <row r="9" spans="2:7" ht="24.75" customHeight="1" thickBot="1" x14ac:dyDescent="0.3">
      <c r="B9" s="153" t="s">
        <v>372</v>
      </c>
      <c r="C9" s="154" t="s">
        <v>271</v>
      </c>
    </row>
    <row r="10" spans="2:7" ht="24.75" customHeight="1" x14ac:dyDescent="0.25">
      <c r="B10" s="155" t="s">
        <v>373</v>
      </c>
      <c r="C10" s="160">
        <v>168079.18</v>
      </c>
      <c r="D10" s="28"/>
      <c r="F10" s="112"/>
      <c r="G10" s="28"/>
    </row>
    <row r="11" spans="2:7" ht="24.75" customHeight="1" x14ac:dyDescent="0.25">
      <c r="B11" s="71" t="s">
        <v>374</v>
      </c>
      <c r="C11" s="161">
        <v>72239.59</v>
      </c>
      <c r="D11" s="28"/>
      <c r="G11" s="28"/>
    </row>
    <row r="12" spans="2:7" ht="24.75" customHeight="1" x14ac:dyDescent="0.4">
      <c r="B12" s="78" t="s">
        <v>287</v>
      </c>
      <c r="C12" s="158">
        <f>SUM(C10:C11)</f>
        <v>240318.77</v>
      </c>
      <c r="G12" s="28"/>
    </row>
    <row r="13" spans="2:7" ht="24.75" customHeight="1" thickBot="1" x14ac:dyDescent="0.3">
      <c r="B13" s="81"/>
      <c r="C13" s="159"/>
    </row>
    <row r="14" spans="2:7" ht="24.75" customHeight="1" x14ac:dyDescent="0.25">
      <c r="E14" s="28"/>
    </row>
    <row r="15" spans="2:7" ht="24.75" customHeight="1" x14ac:dyDescent="0.25">
      <c r="E15" s="28"/>
    </row>
    <row r="17" spans="2:3" ht="24.75" customHeight="1" x14ac:dyDescent="0.25">
      <c r="C17" s="18"/>
    </row>
    <row r="18" spans="2:3" ht="24.75" customHeight="1" x14ac:dyDescent="0.25">
      <c r="C18" s="18"/>
    </row>
    <row r="19" spans="2:3" ht="24.75" customHeight="1" x14ac:dyDescent="0.25">
      <c r="B19" s="157" t="s">
        <v>375</v>
      </c>
      <c r="C19" s="18"/>
    </row>
  </sheetData>
  <mergeCells count="4">
    <mergeCell ref="B5:C5"/>
    <mergeCell ref="B6:C6"/>
    <mergeCell ref="B7:C7"/>
    <mergeCell ref="B4:C4"/>
  </mergeCells>
  <pageMargins left="1.299212598425197" right="0.70866141732283472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J48"/>
  <sheetViews>
    <sheetView topLeftCell="A3" zoomScale="90" zoomScaleNormal="90" workbookViewId="0">
      <selection activeCell="H33" sqref="H33"/>
    </sheetView>
  </sheetViews>
  <sheetFormatPr baseColWidth="10" defaultColWidth="11.42578125" defaultRowHeight="24.75" customHeight="1" x14ac:dyDescent="0.25"/>
  <cols>
    <col min="1" max="1" width="10.7109375" style="1" customWidth="1"/>
    <col min="2" max="2" width="49.85546875" style="1" customWidth="1"/>
    <col min="3" max="3" width="30.5703125" style="1" bestFit="1" customWidth="1"/>
    <col min="4" max="4" width="22.85546875" style="1" customWidth="1"/>
    <col min="5" max="5" width="16.28515625" style="1" bestFit="1" customWidth="1"/>
    <col min="6" max="6" width="19" style="1" bestFit="1" customWidth="1"/>
    <col min="7" max="7" width="16.85546875" style="1" bestFit="1" customWidth="1"/>
    <col min="8" max="8" width="11.42578125" style="1"/>
    <col min="9" max="9" width="15.85546875" style="1" bestFit="1" customWidth="1"/>
    <col min="10" max="10" width="11.5703125" style="1" bestFit="1" customWidth="1"/>
    <col min="11" max="16384" width="11.42578125" style="1"/>
  </cols>
  <sheetData>
    <row r="3" spans="2:10" ht="24.75" customHeight="1" x14ac:dyDescent="0.25">
      <c r="B3" s="625" t="s">
        <v>376</v>
      </c>
      <c r="C3" s="625"/>
      <c r="E3" s="49"/>
    </row>
    <row r="4" spans="2:10" ht="21.75" customHeight="1" x14ac:dyDescent="0.25">
      <c r="B4" s="625" t="s">
        <v>268</v>
      </c>
      <c r="C4" s="625"/>
      <c r="E4" s="49"/>
    </row>
    <row r="5" spans="2:10" ht="21.75" customHeight="1" x14ac:dyDescent="0.25">
      <c r="B5" s="625" t="s">
        <v>13</v>
      </c>
      <c r="C5" s="625"/>
      <c r="E5" s="49"/>
    </row>
    <row r="6" spans="2:10" ht="21.75" customHeight="1" x14ac:dyDescent="0.25">
      <c r="B6" s="635">
        <v>45808</v>
      </c>
      <c r="C6" s="635"/>
      <c r="E6" s="49"/>
    </row>
    <row r="7" spans="2:10" ht="8.25" customHeight="1" thickBot="1" x14ac:dyDescent="0.3">
      <c r="B7" s="65"/>
      <c r="C7" s="65"/>
      <c r="E7" s="49"/>
    </row>
    <row r="8" spans="2:10" ht="24.75" customHeight="1" thickBot="1" x14ac:dyDescent="0.3">
      <c r="B8" s="68" t="s">
        <v>254</v>
      </c>
      <c r="C8" s="70" t="s">
        <v>271</v>
      </c>
      <c r="E8" s="49"/>
    </row>
    <row r="9" spans="2:10" ht="24.75" customHeight="1" x14ac:dyDescent="0.25">
      <c r="B9" s="162" t="s">
        <v>377</v>
      </c>
      <c r="C9" s="99"/>
      <c r="E9" s="49"/>
    </row>
    <row r="10" spans="2:10" ht="24.75" customHeight="1" x14ac:dyDescent="0.25">
      <c r="B10" s="98" t="s">
        <v>378</v>
      </c>
      <c r="C10" s="99">
        <v>278038.63</v>
      </c>
      <c r="E10" s="49"/>
      <c r="F10" s="2"/>
      <c r="G10" s="18"/>
      <c r="I10" s="2"/>
      <c r="J10" s="18"/>
    </row>
    <row r="11" spans="2:10" ht="24.75" customHeight="1" x14ac:dyDescent="0.25">
      <c r="B11" s="98" t="s">
        <v>379</v>
      </c>
      <c r="C11" s="99">
        <v>175276.07</v>
      </c>
      <c r="E11" s="49"/>
      <c r="F11" s="2"/>
      <c r="G11" s="18"/>
      <c r="I11" s="2"/>
      <c r="J11" s="18"/>
    </row>
    <row r="12" spans="2:10" ht="24.75" customHeight="1" x14ac:dyDescent="0.25">
      <c r="B12" s="98" t="s">
        <v>380</v>
      </c>
      <c r="C12" s="99">
        <v>205500.49</v>
      </c>
      <c r="E12" s="49"/>
      <c r="F12" s="2"/>
      <c r="G12" s="18"/>
    </row>
    <row r="13" spans="2:10" ht="24.75" customHeight="1" x14ac:dyDescent="0.25">
      <c r="B13" s="98" t="s">
        <v>381</v>
      </c>
      <c r="C13" s="99">
        <v>1260621.1200000001</v>
      </c>
      <c r="E13" s="49"/>
      <c r="F13" s="2"/>
      <c r="G13" s="18"/>
    </row>
    <row r="14" spans="2:10" ht="24.75" customHeight="1" x14ac:dyDescent="0.25">
      <c r="B14" s="98" t="s">
        <v>382</v>
      </c>
      <c r="C14" s="99">
        <v>82622.350000000006</v>
      </c>
      <c r="E14" s="49"/>
      <c r="F14" s="2"/>
      <c r="G14" s="18"/>
    </row>
    <row r="15" spans="2:10" ht="24.75" customHeight="1" x14ac:dyDescent="0.25">
      <c r="B15" s="98" t="s">
        <v>383</v>
      </c>
      <c r="C15" s="99">
        <v>171103.92</v>
      </c>
      <c r="E15" s="49"/>
      <c r="F15" s="2"/>
      <c r="G15" s="18"/>
    </row>
    <row r="16" spans="2:10" ht="24.75" customHeight="1" x14ac:dyDescent="0.25">
      <c r="B16" s="98" t="s">
        <v>738</v>
      </c>
      <c r="C16" s="99">
        <v>26712.84</v>
      </c>
      <c r="E16" s="49"/>
      <c r="F16" s="2"/>
      <c r="G16" s="18"/>
    </row>
    <row r="17" spans="2:7" ht="24.75" customHeight="1" x14ac:dyDescent="0.4">
      <c r="B17" s="98" t="s">
        <v>384</v>
      </c>
      <c r="C17" s="163">
        <v>126071.86</v>
      </c>
      <c r="E17" s="49"/>
      <c r="F17" s="2"/>
      <c r="G17" s="18"/>
    </row>
    <row r="18" spans="2:7" ht="24.75" hidden="1" customHeight="1" x14ac:dyDescent="0.25">
      <c r="B18" s="98" t="s">
        <v>745</v>
      </c>
      <c r="C18" s="99">
        <v>0</v>
      </c>
      <c r="E18" s="49"/>
      <c r="F18" s="2"/>
      <c r="G18" s="18"/>
    </row>
    <row r="19" spans="2:7" ht="24.75" hidden="1" customHeight="1" x14ac:dyDescent="0.25">
      <c r="B19" s="98" t="s">
        <v>744</v>
      </c>
      <c r="C19" s="99">
        <v>0</v>
      </c>
      <c r="E19" s="49"/>
      <c r="F19" s="2"/>
      <c r="G19" s="18"/>
    </row>
    <row r="20" spans="2:7" ht="24.75" hidden="1" customHeight="1" x14ac:dyDescent="0.25">
      <c r="B20" s="100" t="s">
        <v>741</v>
      </c>
      <c r="C20" s="99">
        <v>0</v>
      </c>
      <c r="E20" s="49"/>
      <c r="F20" s="2"/>
      <c r="G20" s="18"/>
    </row>
    <row r="21" spans="2:7" ht="24.75" hidden="1" customHeight="1" x14ac:dyDescent="0.25">
      <c r="B21" s="100" t="s">
        <v>742</v>
      </c>
      <c r="C21" s="99">
        <v>0</v>
      </c>
      <c r="E21" s="49"/>
      <c r="F21" s="2"/>
      <c r="G21" s="18"/>
    </row>
    <row r="22" spans="2:7" ht="24.75" hidden="1" customHeight="1" x14ac:dyDescent="0.4">
      <c r="B22" s="100" t="s">
        <v>743</v>
      </c>
      <c r="C22" s="163">
        <v>0</v>
      </c>
      <c r="E22" s="49"/>
      <c r="F22" s="2"/>
      <c r="G22" s="18"/>
    </row>
    <row r="23" spans="2:7" ht="24.75" customHeight="1" x14ac:dyDescent="0.25">
      <c r="B23" s="270" t="s">
        <v>385</v>
      </c>
      <c r="C23" s="271">
        <f>SUM(C10:C22)</f>
        <v>2325947.2799999998</v>
      </c>
      <c r="D23" s="18"/>
      <c r="E23" s="49"/>
      <c r="F23" s="2"/>
      <c r="G23" s="18"/>
    </row>
    <row r="24" spans="2:7" ht="24.75" customHeight="1" x14ac:dyDescent="0.25">
      <c r="B24" s="164"/>
      <c r="C24" s="165"/>
      <c r="D24" s="18"/>
      <c r="E24" s="49"/>
      <c r="G24" s="18"/>
    </row>
    <row r="25" spans="2:7" ht="24.75" customHeight="1" x14ac:dyDescent="0.25">
      <c r="B25" s="103" t="s">
        <v>386</v>
      </c>
      <c r="C25" s="101"/>
      <c r="E25" s="167"/>
      <c r="F25" s="53"/>
      <c r="G25" s="18"/>
    </row>
    <row r="26" spans="2:7" ht="24.75" customHeight="1" x14ac:dyDescent="0.25">
      <c r="B26" s="100" t="s">
        <v>387</v>
      </c>
      <c r="C26" s="101">
        <v>64081.55</v>
      </c>
      <c r="E26" s="535"/>
      <c r="F26" s="536"/>
      <c r="G26" s="537"/>
    </row>
    <row r="27" spans="2:7" ht="24.75" customHeight="1" x14ac:dyDescent="0.25">
      <c r="B27" s="100" t="s">
        <v>388</v>
      </c>
      <c r="C27" s="101">
        <v>120243.82</v>
      </c>
      <c r="E27" s="535"/>
      <c r="F27" s="536"/>
      <c r="G27" s="537"/>
    </row>
    <row r="28" spans="2:7" ht="24.75" customHeight="1" x14ac:dyDescent="0.25">
      <c r="B28" s="100" t="s">
        <v>389</v>
      </c>
      <c r="C28" s="101">
        <v>9822.74</v>
      </c>
      <c r="E28" s="535"/>
      <c r="F28" s="536"/>
      <c r="G28" s="537"/>
    </row>
    <row r="29" spans="2:7" ht="24.75" customHeight="1" x14ac:dyDescent="0.25">
      <c r="B29" s="100" t="s">
        <v>739</v>
      </c>
      <c r="C29" s="101">
        <v>112200.7</v>
      </c>
      <c r="E29" s="535"/>
      <c r="F29" s="536"/>
      <c r="G29" s="537"/>
    </row>
    <row r="30" spans="2:7" ht="24.75" customHeight="1" x14ac:dyDescent="0.25">
      <c r="B30" s="100" t="s">
        <v>391</v>
      </c>
      <c r="C30" s="101">
        <v>188521.17</v>
      </c>
      <c r="E30" s="535"/>
      <c r="F30" s="536"/>
      <c r="G30" s="537"/>
    </row>
    <row r="31" spans="2:7" ht="24.75" customHeight="1" x14ac:dyDescent="0.25">
      <c r="B31" s="100" t="s">
        <v>390</v>
      </c>
      <c r="C31" s="101">
        <v>55030.65</v>
      </c>
      <c r="E31" s="535"/>
      <c r="F31" s="536"/>
      <c r="G31" s="537"/>
    </row>
    <row r="32" spans="2:7" ht="24.75" customHeight="1" x14ac:dyDescent="0.25">
      <c r="B32" s="100" t="s">
        <v>799</v>
      </c>
      <c r="C32" s="101">
        <v>93678.38</v>
      </c>
      <c r="E32" s="535"/>
      <c r="F32" s="536"/>
      <c r="G32" s="537"/>
    </row>
    <row r="33" spans="2:7" ht="24.75" customHeight="1" x14ac:dyDescent="0.25">
      <c r="B33" s="100" t="s">
        <v>800</v>
      </c>
      <c r="C33" s="101"/>
      <c r="E33" s="535"/>
      <c r="F33" s="536"/>
      <c r="G33" s="537"/>
    </row>
    <row r="34" spans="2:7" ht="24.75" hidden="1" customHeight="1" x14ac:dyDescent="0.25">
      <c r="B34" s="100" t="s">
        <v>392</v>
      </c>
      <c r="C34" s="101"/>
      <c r="E34" s="535"/>
      <c r="F34" s="536"/>
      <c r="G34" s="537"/>
    </row>
    <row r="35" spans="2:7" ht="24.75" hidden="1" customHeight="1" x14ac:dyDescent="0.25">
      <c r="B35" s="100" t="s">
        <v>393</v>
      </c>
      <c r="C35" s="101"/>
      <c r="E35" s="535"/>
      <c r="F35" s="536"/>
      <c r="G35" s="537"/>
    </row>
    <row r="36" spans="2:7" ht="24.75" customHeight="1" x14ac:dyDescent="0.4">
      <c r="B36" s="100" t="s">
        <v>394</v>
      </c>
      <c r="C36" s="102">
        <v>271043.14</v>
      </c>
      <c r="E36" s="535"/>
      <c r="F36" s="536"/>
      <c r="G36" s="537"/>
    </row>
    <row r="37" spans="2:7" ht="24.75" customHeight="1" x14ac:dyDescent="0.4">
      <c r="B37" s="270" t="s">
        <v>395</v>
      </c>
      <c r="C37" s="272">
        <f>SUM(C26:C36)</f>
        <v>914622.15</v>
      </c>
      <c r="E37" s="167"/>
      <c r="F37" s="53"/>
      <c r="G37" s="18"/>
    </row>
    <row r="38" spans="2:7" ht="24.75" customHeight="1" x14ac:dyDescent="0.4">
      <c r="B38" s="270"/>
      <c r="C38" s="272"/>
      <c r="E38" s="49"/>
      <c r="F38" s="2"/>
      <c r="G38" s="18"/>
    </row>
    <row r="39" spans="2:7" ht="24.75" customHeight="1" x14ac:dyDescent="0.4">
      <c r="B39" s="273" t="s">
        <v>287</v>
      </c>
      <c r="C39" s="166">
        <f>+C23+C37</f>
        <v>3240569.4299999997</v>
      </c>
      <c r="E39" s="49"/>
      <c r="F39" s="2"/>
      <c r="G39" s="18"/>
    </row>
    <row r="40" spans="2:7" ht="24.75" customHeight="1" thickBot="1" x14ac:dyDescent="0.3">
      <c r="B40" s="105"/>
      <c r="C40" s="106"/>
      <c r="E40" s="335"/>
    </row>
    <row r="41" spans="2:7" ht="21.75" customHeight="1" x14ac:dyDescent="0.3">
      <c r="B41" s="7"/>
      <c r="C41" s="491"/>
      <c r="G41" s="420"/>
    </row>
    <row r="42" spans="2:7" ht="24.75" customHeight="1" x14ac:dyDescent="0.3">
      <c r="B42" s="490" t="s">
        <v>797</v>
      </c>
      <c r="C42" s="532">
        <v>3240569.43</v>
      </c>
    </row>
    <row r="43" spans="2:7" ht="3.75" customHeight="1" x14ac:dyDescent="0.25">
      <c r="C43" s="18"/>
      <c r="E43" s="2"/>
    </row>
    <row r="44" spans="2:7" ht="24.75" customHeight="1" thickBot="1" x14ac:dyDescent="0.35">
      <c r="B44" s="533" t="s">
        <v>798</v>
      </c>
      <c r="C44" s="168">
        <f>+C39-C42</f>
        <v>0</v>
      </c>
      <c r="E44" s="2"/>
    </row>
    <row r="45" spans="2:7" ht="24.75" customHeight="1" thickTop="1" x14ac:dyDescent="0.25">
      <c r="C45" s="2"/>
      <c r="E45" s="2"/>
    </row>
    <row r="46" spans="2:7" ht="24.75" customHeight="1" x14ac:dyDescent="0.25">
      <c r="C46" s="534"/>
      <c r="E46" s="2"/>
    </row>
    <row r="48" spans="2:7" ht="24.75" customHeight="1" x14ac:dyDescent="0.25">
      <c r="C48" s="18"/>
    </row>
  </sheetData>
  <mergeCells count="4">
    <mergeCell ref="B5:C5"/>
    <mergeCell ref="B6:C6"/>
    <mergeCell ref="B4:C4"/>
    <mergeCell ref="B3:C3"/>
  </mergeCells>
  <phoneticPr fontId="59" type="noConversion"/>
  <pageMargins left="0.70866141732283472" right="0.70866141732283472" top="0.43307086614173229" bottom="0.74803149606299213" header="0.31496062992125984" footer="0.31496062992125984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34"/>
  <sheetViews>
    <sheetView topLeftCell="A6" zoomScaleNormal="100" workbookViewId="0">
      <selection activeCell="E21" sqref="E21"/>
    </sheetView>
  </sheetViews>
  <sheetFormatPr baseColWidth="10" defaultColWidth="11.42578125" defaultRowHeight="24.75" customHeight="1" x14ac:dyDescent="0.25"/>
  <cols>
    <col min="1" max="1" width="10.140625" style="1" customWidth="1"/>
    <col min="2" max="2" width="39.28515625" style="1" customWidth="1"/>
    <col min="3" max="4" width="19.28515625" style="1" customWidth="1"/>
    <col min="5" max="5" width="15.85546875" style="1" bestFit="1" customWidth="1"/>
    <col min="6" max="6" width="16" style="1" bestFit="1" customWidth="1"/>
    <col min="7" max="16384" width="11.42578125" style="1"/>
  </cols>
  <sheetData>
    <row r="3" spans="2:10" ht="24.75" customHeight="1" x14ac:dyDescent="0.25">
      <c r="B3" s="625" t="s">
        <v>396</v>
      </c>
      <c r="C3" s="625"/>
      <c r="D3" s="625"/>
    </row>
    <row r="4" spans="2:10" ht="30" customHeight="1" x14ac:dyDescent="0.25">
      <c r="B4" s="625" t="s">
        <v>268</v>
      </c>
      <c r="C4" s="625"/>
      <c r="D4" s="625"/>
    </row>
    <row r="5" spans="2:10" ht="31.5" customHeight="1" x14ac:dyDescent="0.25">
      <c r="B5" s="646" t="s">
        <v>397</v>
      </c>
      <c r="C5" s="646"/>
      <c r="D5" s="646"/>
      <c r="I5" s="45"/>
      <c r="J5" s="45"/>
    </row>
    <row r="6" spans="2:10" ht="24.75" customHeight="1" x14ac:dyDescent="0.25">
      <c r="B6" s="635">
        <v>45808</v>
      </c>
      <c r="C6" s="635"/>
      <c r="D6" s="635"/>
    </row>
    <row r="7" spans="2:10" ht="24.75" customHeight="1" thickBot="1" x14ac:dyDescent="0.3">
      <c r="B7" s="65"/>
      <c r="C7" s="65"/>
      <c r="D7" s="65"/>
    </row>
    <row r="8" spans="2:10" ht="24.75" customHeight="1" thickBot="1" x14ac:dyDescent="0.3">
      <c r="B8" s="68" t="s">
        <v>254</v>
      </c>
      <c r="C8" s="647" t="s">
        <v>271</v>
      </c>
      <c r="D8" s="648"/>
    </row>
    <row r="9" spans="2:10" ht="24.75" customHeight="1" x14ac:dyDescent="0.25">
      <c r="B9" s="98" t="s">
        <v>398</v>
      </c>
      <c r="C9" s="99"/>
      <c r="D9" s="99">
        <f>+'NOTA 5-SEG PAG X ANT'!F52</f>
        <v>411103.11</v>
      </c>
    </row>
    <row r="10" spans="2:10" ht="24.75" customHeight="1" x14ac:dyDescent="0.25">
      <c r="B10" s="98"/>
      <c r="C10" s="99"/>
      <c r="D10" s="99"/>
    </row>
    <row r="11" spans="2:10" ht="24.75" customHeight="1" x14ac:dyDescent="0.25">
      <c r="B11" s="98" t="s">
        <v>748</v>
      </c>
      <c r="C11" s="99"/>
      <c r="D11" s="99"/>
    </row>
    <row r="12" spans="2:10" ht="24.75" customHeight="1" x14ac:dyDescent="0.25">
      <c r="B12" s="100" t="s">
        <v>399</v>
      </c>
      <c r="C12" s="101">
        <f>+'NOTA 5 - LIC MS 365 AMORTIZ'!F43</f>
        <v>1455623.3333333333</v>
      </c>
      <c r="D12" s="101"/>
    </row>
    <row r="13" spans="2:10" ht="24.75" customHeight="1" x14ac:dyDescent="0.25">
      <c r="B13" s="100" t="s">
        <v>865</v>
      </c>
      <c r="C13" s="101">
        <f>+'NOTA 5 LIC ALDABA LINKEDIN'!F43</f>
        <v>363333.33666666667</v>
      </c>
      <c r="D13" s="101"/>
    </row>
    <row r="14" spans="2:10" ht="24.75" customHeight="1" x14ac:dyDescent="0.25">
      <c r="B14" s="100" t="s">
        <v>400</v>
      </c>
      <c r="C14" s="101">
        <f>+'NOTA 5 LICENCIAS JIRA'!F43</f>
        <v>150000</v>
      </c>
      <c r="D14" s="101"/>
    </row>
    <row r="15" spans="2:10" ht="24.75" customHeight="1" x14ac:dyDescent="0.25">
      <c r="B15" s="100" t="s">
        <v>401</v>
      </c>
      <c r="C15" s="101">
        <f>+'NOTA 5 LIC ANTIDESASTRES'!F44</f>
        <v>240833.33333333326</v>
      </c>
      <c r="D15" s="101"/>
      <c r="E15" s="18"/>
    </row>
    <row r="16" spans="2:10" ht="24.75" customHeight="1" x14ac:dyDescent="0.4">
      <c r="B16" s="100" t="s">
        <v>402</v>
      </c>
      <c r="C16" s="102">
        <f>+'NOTA 5 Licencias Adobe'!F43</f>
        <v>205360.78499999997</v>
      </c>
      <c r="D16" s="101"/>
    </row>
    <row r="17" spans="2:6" ht="24.75" customHeight="1" x14ac:dyDescent="0.4">
      <c r="B17" s="489" t="s">
        <v>747</v>
      </c>
      <c r="C17" s="102"/>
      <c r="D17" s="102">
        <f>SUM(C12:C16)</f>
        <v>2415150.7883333331</v>
      </c>
    </row>
    <row r="18" spans="2:6" ht="24.75" customHeight="1" x14ac:dyDescent="0.4">
      <c r="B18" s="489"/>
      <c r="C18" s="102"/>
      <c r="D18" s="102"/>
      <c r="F18" s="492"/>
    </row>
    <row r="19" spans="2:6" ht="24.75" customHeight="1" x14ac:dyDescent="0.4">
      <c r="B19" s="103" t="s">
        <v>287</v>
      </c>
      <c r="C19" s="104"/>
      <c r="D19" s="104">
        <f>SUM(D9:D17)</f>
        <v>2826253.898333333</v>
      </c>
      <c r="F19" s="497"/>
    </row>
    <row r="20" spans="2:6" ht="22.5" customHeight="1" thickBot="1" x14ac:dyDescent="0.3">
      <c r="B20" s="105"/>
      <c r="C20" s="106"/>
      <c r="D20" s="106"/>
    </row>
    <row r="21" spans="2:6" ht="18" customHeight="1" x14ac:dyDescent="0.25">
      <c r="B21" s="167"/>
      <c r="C21" s="167"/>
      <c r="D21" s="167"/>
    </row>
    <row r="22" spans="2:6" ht="18" customHeight="1" x14ac:dyDescent="0.25">
      <c r="B22" s="167"/>
      <c r="C22" s="167"/>
      <c r="D22" s="482"/>
    </row>
    <row r="23" spans="2:6" ht="18" customHeight="1" x14ac:dyDescent="0.25">
      <c r="B23" s="167"/>
      <c r="C23" s="167"/>
      <c r="D23" s="167"/>
    </row>
    <row r="24" spans="2:6" ht="18" customHeight="1" x14ac:dyDescent="0.25">
      <c r="B24" s="167"/>
      <c r="C24" s="167"/>
      <c r="D24" s="167"/>
    </row>
    <row r="25" spans="2:6" ht="18" customHeight="1" x14ac:dyDescent="0.25">
      <c r="B25" s="167"/>
      <c r="C25" s="167"/>
      <c r="D25" s="167"/>
      <c r="E25" s="18"/>
    </row>
    <row r="26" spans="2:6" ht="24.75" customHeight="1" x14ac:dyDescent="0.25">
      <c r="D26" s="18"/>
    </row>
    <row r="27" spans="2:6" ht="24.75" hidden="1" customHeight="1" x14ac:dyDescent="0.25">
      <c r="B27" s="1" t="s">
        <v>403</v>
      </c>
      <c r="D27" s="18">
        <f>-'NOTA 5-SEG PAG X ANT'!F49</f>
        <v>-575544.34</v>
      </c>
    </row>
    <row r="28" spans="2:6" ht="24.75" hidden="1" customHeight="1" x14ac:dyDescent="0.25">
      <c r="B28" s="1" t="s">
        <v>404</v>
      </c>
      <c r="D28" s="18">
        <f>-'NOTA 5 - LIC MS 365 AMORTIZ'!F36</f>
        <v>0</v>
      </c>
    </row>
    <row r="29" spans="2:6" ht="24.75" hidden="1" customHeight="1" x14ac:dyDescent="0.25">
      <c r="B29" s="1" t="s">
        <v>405</v>
      </c>
      <c r="D29" s="18">
        <f>-'NOTA 5 LICENCIAS JIRA'!F33</f>
        <v>-75000</v>
      </c>
    </row>
    <row r="30" spans="2:6" ht="24.75" hidden="1" customHeight="1" x14ac:dyDescent="0.25">
      <c r="B30" s="1" t="s">
        <v>406</v>
      </c>
      <c r="D30" s="18">
        <f>-'NOTA 5 Licencias Adobe'!F32</f>
        <v>-22817.87833333333</v>
      </c>
    </row>
    <row r="31" spans="2:6" ht="24.75" hidden="1" customHeight="1" x14ac:dyDescent="0.25">
      <c r="B31" s="1" t="s">
        <v>407</v>
      </c>
      <c r="D31" s="18">
        <v>-278983.06</v>
      </c>
    </row>
    <row r="32" spans="2:6" ht="24.75" hidden="1" customHeight="1" thickBot="1" x14ac:dyDescent="0.3">
      <c r="B32" s="1" t="s">
        <v>408</v>
      </c>
      <c r="D32" s="168">
        <f>SUM(D26:D31)</f>
        <v>-952345.27833333332</v>
      </c>
    </row>
    <row r="33" spans="4:4" ht="24.75" hidden="1" customHeight="1" thickTop="1" x14ac:dyDescent="0.25"/>
    <row r="34" spans="4:4" ht="24.75" customHeight="1" x14ac:dyDescent="0.25">
      <c r="D34" s="18"/>
    </row>
  </sheetData>
  <mergeCells count="5">
    <mergeCell ref="B3:D3"/>
    <mergeCell ref="B5:D5"/>
    <mergeCell ref="B6:D6"/>
    <mergeCell ref="B4:D4"/>
    <mergeCell ref="C8:D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4:G54"/>
  <sheetViews>
    <sheetView topLeftCell="A34" zoomScale="110" zoomScaleNormal="110" workbookViewId="0">
      <selection activeCell="E21" sqref="E21"/>
    </sheetView>
  </sheetViews>
  <sheetFormatPr baseColWidth="10" defaultColWidth="11.5703125" defaultRowHeight="15.75" x14ac:dyDescent="0.25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6.5703125" style="1" bestFit="1" customWidth="1"/>
    <col min="7" max="16384" width="11.5703125" style="1"/>
  </cols>
  <sheetData>
    <row r="4" spans="2:6" x14ac:dyDescent="0.25">
      <c r="B4" s="625" t="s">
        <v>396</v>
      </c>
      <c r="C4" s="625"/>
      <c r="D4" s="625"/>
      <c r="E4" s="625"/>
      <c r="F4" s="625"/>
    </row>
    <row r="5" spans="2:6" x14ac:dyDescent="0.25">
      <c r="B5" s="625" t="s">
        <v>268</v>
      </c>
      <c r="C5" s="625"/>
      <c r="D5" s="625"/>
      <c r="E5" s="625"/>
      <c r="F5" s="625"/>
    </row>
    <row r="6" spans="2:6" x14ac:dyDescent="0.25">
      <c r="B6" s="625" t="s">
        <v>409</v>
      </c>
      <c r="C6" s="625"/>
      <c r="D6" s="625"/>
      <c r="E6" s="625"/>
      <c r="F6" s="625"/>
    </row>
    <row r="7" spans="2:6" x14ac:dyDescent="0.25">
      <c r="B7" s="649">
        <v>45808</v>
      </c>
      <c r="C7" s="649"/>
      <c r="D7" s="649"/>
      <c r="E7" s="649"/>
      <c r="F7" s="649"/>
    </row>
    <row r="9" spans="2:6" x14ac:dyDescent="0.25">
      <c r="B9" s="650" t="s">
        <v>410</v>
      </c>
      <c r="C9" s="650"/>
      <c r="D9" s="650"/>
      <c r="E9" s="650"/>
      <c r="F9" s="650"/>
    </row>
    <row r="10" spans="2:6" x14ac:dyDescent="0.25">
      <c r="B10" s="618" t="s">
        <v>411</v>
      </c>
      <c r="C10" s="618"/>
      <c r="D10" s="618"/>
      <c r="E10" s="618"/>
      <c r="F10" s="618"/>
    </row>
    <row r="11" spans="2:6" x14ac:dyDescent="0.25">
      <c r="B11" s="618" t="s">
        <v>412</v>
      </c>
      <c r="C11" s="618"/>
      <c r="D11" s="618"/>
      <c r="E11" s="618"/>
      <c r="F11" s="618"/>
    </row>
    <row r="12" spans="2:6" ht="16.5" thickBot="1" x14ac:dyDescent="0.3">
      <c r="B12" s="17"/>
      <c r="C12" s="17"/>
      <c r="D12" s="17"/>
      <c r="E12" s="17"/>
      <c r="F12" s="17"/>
    </row>
    <row r="13" spans="2:6" ht="18" customHeight="1" thickBot="1" x14ac:dyDescent="0.3">
      <c r="B13" s="68" t="s">
        <v>413</v>
      </c>
      <c r="C13" s="69"/>
      <c r="D13" s="69" t="s">
        <v>414</v>
      </c>
      <c r="E13" s="69"/>
      <c r="F13" s="220" t="s">
        <v>415</v>
      </c>
    </row>
    <row r="14" spans="2:6" x14ac:dyDescent="0.25">
      <c r="B14" s="169" t="s">
        <v>416</v>
      </c>
      <c r="D14" s="1" t="s">
        <v>417</v>
      </c>
      <c r="F14" s="170">
        <v>594182.82999999996</v>
      </c>
    </row>
    <row r="15" spans="2:6" x14ac:dyDescent="0.25">
      <c r="B15" s="169" t="s">
        <v>418</v>
      </c>
      <c r="D15" s="1" t="s">
        <v>419</v>
      </c>
      <c r="F15" s="170">
        <v>313416.84000000003</v>
      </c>
    </row>
    <row r="16" spans="2:6" x14ac:dyDescent="0.25">
      <c r="B16" s="169" t="s">
        <v>420</v>
      </c>
      <c r="D16" s="1" t="s">
        <v>421</v>
      </c>
      <c r="F16" s="170">
        <v>5619.41</v>
      </c>
    </row>
    <row r="17" spans="1:7" x14ac:dyDescent="0.25">
      <c r="B17" s="169" t="s">
        <v>422</v>
      </c>
      <c r="D17" s="1" t="s">
        <v>423</v>
      </c>
      <c r="F17" s="170">
        <v>23218.799999999999</v>
      </c>
    </row>
    <row r="18" spans="1:7" x14ac:dyDescent="0.25">
      <c r="B18" s="169" t="s">
        <v>424</v>
      </c>
      <c r="D18" s="1" t="s">
        <v>425</v>
      </c>
      <c r="F18" s="170">
        <v>29979.7</v>
      </c>
    </row>
    <row r="19" spans="1:7" x14ac:dyDescent="0.25">
      <c r="B19" s="169" t="s">
        <v>426</v>
      </c>
      <c r="D19" s="1" t="s">
        <v>427</v>
      </c>
      <c r="F19" s="170">
        <v>20229.87</v>
      </c>
    </row>
    <row r="20" spans="1:7" ht="18" x14ac:dyDescent="0.4">
      <c r="B20" s="169" t="s">
        <v>428</v>
      </c>
      <c r="F20" s="171"/>
    </row>
    <row r="21" spans="1:7" ht="18" x14ac:dyDescent="0.4">
      <c r="B21" s="172" t="s">
        <v>343</v>
      </c>
      <c r="C21" s="79"/>
      <c r="D21" s="79"/>
      <c r="E21" s="79"/>
      <c r="F21" s="173">
        <f>SUM(F14:F20)</f>
        <v>986647.45</v>
      </c>
    </row>
    <row r="22" spans="1:7" x14ac:dyDescent="0.25">
      <c r="F22" s="53"/>
    </row>
    <row r="23" spans="1:7" x14ac:dyDescent="0.25">
      <c r="B23" s="174" t="s">
        <v>429</v>
      </c>
      <c r="C23" s="175"/>
      <c r="D23" s="175"/>
      <c r="E23" s="175"/>
      <c r="F23" s="176">
        <v>986647.45</v>
      </c>
    </row>
    <row r="24" spans="1:7" ht="18" x14ac:dyDescent="0.4">
      <c r="B24" s="177"/>
      <c r="F24" s="171"/>
    </row>
    <row r="25" spans="1:7" ht="18" x14ac:dyDescent="0.4">
      <c r="B25" s="178" t="s">
        <v>430</v>
      </c>
      <c r="C25" s="59"/>
      <c r="D25" s="59"/>
      <c r="E25" s="59"/>
      <c r="F25" s="179">
        <f>SUM(F23:F24)</f>
        <v>986647.45</v>
      </c>
    </row>
    <row r="26" spans="1:7" x14ac:dyDescent="0.25">
      <c r="A26" s="368"/>
      <c r="F26" s="53"/>
    </row>
    <row r="27" spans="1:7" x14ac:dyDescent="0.25">
      <c r="F27" s="2"/>
    </row>
    <row r="28" spans="1:7" x14ac:dyDescent="0.25">
      <c r="B28" s="180" t="s">
        <v>431</v>
      </c>
      <c r="C28" s="180"/>
      <c r="D28" s="180"/>
      <c r="E28" s="180"/>
      <c r="F28" s="181">
        <f>+F21/12</f>
        <v>82220.620833333334</v>
      </c>
    </row>
    <row r="29" spans="1:7" x14ac:dyDescent="0.25">
      <c r="F29" s="2"/>
    </row>
    <row r="30" spans="1:7" x14ac:dyDescent="0.25">
      <c r="B30" s="1" t="s">
        <v>432</v>
      </c>
      <c r="D30" s="1">
        <v>2</v>
      </c>
      <c r="F30" s="2">
        <f>+F28*D30</f>
        <v>164441.24166666667</v>
      </c>
      <c r="G30" s="18"/>
    </row>
    <row r="31" spans="1:7" x14ac:dyDescent="0.25">
      <c r="F31" s="2"/>
    </row>
    <row r="32" spans="1:7" x14ac:dyDescent="0.25">
      <c r="B32" s="1" t="s">
        <v>433</v>
      </c>
      <c r="D32" s="1">
        <v>3</v>
      </c>
      <c r="F32" s="2">
        <f>+D32*F28</f>
        <v>246661.86249999999</v>
      </c>
      <c r="G32" s="18"/>
    </row>
    <row r="33" spans="1:7" x14ac:dyDescent="0.25">
      <c r="F33" s="2"/>
    </row>
    <row r="34" spans="1:7" x14ac:dyDescent="0.25">
      <c r="B34" s="1" t="s">
        <v>434</v>
      </c>
      <c r="D34" s="1">
        <v>7</v>
      </c>
      <c r="F34" s="2">
        <f>+D34*F28</f>
        <v>575544.34583333333</v>
      </c>
      <c r="G34" s="18"/>
    </row>
    <row r="35" spans="1:7" x14ac:dyDescent="0.25">
      <c r="F35" s="2"/>
    </row>
    <row r="36" spans="1:7" x14ac:dyDescent="0.25">
      <c r="A36" s="416"/>
      <c r="B36" s="416" t="s">
        <v>435</v>
      </c>
      <c r="C36" s="416"/>
      <c r="D36" s="416"/>
      <c r="E36" s="416"/>
      <c r="F36" s="417">
        <v>82220.62</v>
      </c>
      <c r="G36" s="18"/>
    </row>
    <row r="37" spans="1:7" x14ac:dyDescent="0.25">
      <c r="B37" s="1" t="s">
        <v>436</v>
      </c>
      <c r="C37" s="3"/>
      <c r="D37" s="3"/>
      <c r="E37" s="3"/>
      <c r="F37" s="417">
        <v>82220.62</v>
      </c>
    </row>
    <row r="38" spans="1:7" x14ac:dyDescent="0.25">
      <c r="B38" s="1" t="s">
        <v>437</v>
      </c>
      <c r="F38" s="2">
        <v>82220.62</v>
      </c>
    </row>
    <row r="39" spans="1:7" x14ac:dyDescent="0.25">
      <c r="B39" s="1" t="s">
        <v>438</v>
      </c>
      <c r="F39" s="2">
        <v>82220.62</v>
      </c>
    </row>
    <row r="40" spans="1:7" x14ac:dyDescent="0.25">
      <c r="B40" s="1" t="s">
        <v>439</v>
      </c>
      <c r="C40" s="3"/>
      <c r="F40" s="2">
        <v>82220.62</v>
      </c>
    </row>
    <row r="41" spans="1:7" x14ac:dyDescent="0.25">
      <c r="B41" s="1" t="s">
        <v>440</v>
      </c>
      <c r="F41" s="2">
        <v>82220.62</v>
      </c>
    </row>
    <row r="42" spans="1:7" x14ac:dyDescent="0.25">
      <c r="B42" s="3" t="s">
        <v>441</v>
      </c>
      <c r="F42" s="26">
        <v>82220.62</v>
      </c>
    </row>
    <row r="43" spans="1:7" hidden="1" x14ac:dyDescent="0.25">
      <c r="B43" s="1" t="s">
        <v>442</v>
      </c>
      <c r="F43" s="2"/>
    </row>
    <row r="44" spans="1:7" hidden="1" x14ac:dyDescent="0.25">
      <c r="B44" s="1" t="s">
        <v>443</v>
      </c>
      <c r="F44" s="2"/>
    </row>
    <row r="45" spans="1:7" hidden="1" x14ac:dyDescent="0.25">
      <c r="B45" s="1" t="s">
        <v>444</v>
      </c>
      <c r="F45" s="2"/>
    </row>
    <row r="46" spans="1:7" hidden="1" x14ac:dyDescent="0.25">
      <c r="B46" s="1" t="s">
        <v>445</v>
      </c>
      <c r="F46" s="2"/>
    </row>
    <row r="47" spans="1:7" hidden="1" x14ac:dyDescent="0.25">
      <c r="B47" s="1" t="s">
        <v>446</v>
      </c>
      <c r="F47" s="26"/>
    </row>
    <row r="48" spans="1:7" hidden="1" x14ac:dyDescent="0.25">
      <c r="B48" s="416" t="s">
        <v>447</v>
      </c>
      <c r="F48" s="2"/>
    </row>
    <row r="49" spans="2:6" x14ac:dyDescent="0.25">
      <c r="B49" s="1" t="s">
        <v>448</v>
      </c>
      <c r="F49" s="182">
        <f>SUM(F36:F48)</f>
        <v>575544.34</v>
      </c>
    </row>
    <row r="50" spans="2:6" x14ac:dyDescent="0.25">
      <c r="F50" s="93"/>
    </row>
    <row r="51" spans="2:6" x14ac:dyDescent="0.25">
      <c r="F51" s="53"/>
    </row>
    <row r="52" spans="2:6" ht="22.5" customHeight="1" x14ac:dyDescent="0.4">
      <c r="B52" s="131" t="s">
        <v>449</v>
      </c>
      <c r="C52" s="131"/>
      <c r="D52" s="131"/>
      <c r="E52" s="131"/>
      <c r="F52" s="183">
        <f>+F25-F49</f>
        <v>411103.11</v>
      </c>
    </row>
    <row r="54" spans="2:6" x14ac:dyDescent="0.25">
      <c r="F54" s="18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59" type="noConversion"/>
  <pageMargins left="0.11811023622047245" right="0.70866141732283472" top="0.74803149606299213" bottom="0.74803149606299213" header="0.31496062992125984" footer="0.31496062992125984"/>
  <pageSetup scale="9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6226-0DC0-418D-9064-4450A4D7836E}">
  <sheetPr>
    <pageSetUpPr fitToPage="1"/>
  </sheetPr>
  <dimension ref="A1:F56"/>
  <sheetViews>
    <sheetView topLeftCell="A29" workbookViewId="0">
      <selection activeCell="H33" sqref="H33"/>
    </sheetView>
  </sheetViews>
  <sheetFormatPr baseColWidth="10" defaultColWidth="11.42578125" defaultRowHeight="24.75" customHeight="1" x14ac:dyDescent="0.25"/>
  <cols>
    <col min="1" max="1" width="4.7109375" style="203" customWidth="1"/>
    <col min="2" max="2" width="33" style="203" bestFit="1" customWidth="1"/>
    <col min="3" max="3" width="13.5703125" style="203" customWidth="1"/>
    <col min="4" max="4" width="17" style="203" customWidth="1"/>
    <col min="5" max="5" width="12" style="203" bestFit="1" customWidth="1"/>
    <col min="6" max="6" width="18.85546875" style="203" customWidth="1"/>
    <col min="7" max="16384" width="11.42578125" style="1"/>
  </cols>
  <sheetData>
    <row r="1" spans="1:6" ht="15.95" customHeight="1" x14ac:dyDescent="0.25">
      <c r="A1" s="1"/>
      <c r="B1" s="1"/>
      <c r="C1" s="1"/>
      <c r="D1" s="1"/>
      <c r="E1" s="1"/>
      <c r="F1" s="1"/>
    </row>
    <row r="2" spans="1:6" ht="15.95" customHeight="1" x14ac:dyDescent="0.25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625" t="s">
        <v>396</v>
      </c>
      <c r="C3" s="625"/>
      <c r="D3" s="625"/>
      <c r="E3" s="625"/>
      <c r="F3" s="625"/>
    </row>
    <row r="4" spans="1:6" ht="15.95" customHeight="1" x14ac:dyDescent="0.25">
      <c r="A4" s="1"/>
      <c r="B4" s="625" t="s">
        <v>268</v>
      </c>
      <c r="C4" s="625"/>
      <c r="D4" s="625"/>
      <c r="E4" s="625"/>
      <c r="F4" s="625"/>
    </row>
    <row r="5" spans="1:6" ht="15.95" customHeight="1" x14ac:dyDescent="0.25">
      <c r="A5" s="1"/>
      <c r="B5" s="625" t="s">
        <v>450</v>
      </c>
      <c r="C5" s="625"/>
      <c r="D5" s="625"/>
      <c r="E5" s="625"/>
      <c r="F5" s="625"/>
    </row>
    <row r="6" spans="1:6" ht="15.95" customHeight="1" x14ac:dyDescent="0.25">
      <c r="A6" s="1"/>
      <c r="B6" s="649">
        <v>45808</v>
      </c>
      <c r="C6" s="649"/>
      <c r="D6" s="649"/>
      <c r="E6" s="649"/>
      <c r="F6" s="649"/>
    </row>
    <row r="7" spans="1:6" ht="15.95" customHeight="1" x14ac:dyDescent="0.25">
      <c r="A7" s="1"/>
      <c r="B7" s="1"/>
      <c r="C7" s="1"/>
      <c r="D7" s="1"/>
      <c r="E7" s="1"/>
      <c r="F7" s="1"/>
    </row>
    <row r="8" spans="1:6" ht="21.75" customHeight="1" x14ac:dyDescent="0.25">
      <c r="A8" s="1"/>
      <c r="B8" s="650" t="s">
        <v>859</v>
      </c>
      <c r="C8" s="650"/>
      <c r="D8" s="650"/>
      <c r="E8" s="650"/>
      <c r="F8" s="650"/>
    </row>
    <row r="9" spans="1:6" ht="21.75" customHeight="1" x14ac:dyDescent="0.25">
      <c r="A9" s="1"/>
      <c r="B9" s="618" t="s">
        <v>860</v>
      </c>
      <c r="C9" s="618"/>
      <c r="D9" s="618"/>
      <c r="E9" s="618"/>
      <c r="F9" s="618"/>
    </row>
    <row r="10" spans="1:6" ht="21.75" customHeight="1" x14ac:dyDescent="0.25">
      <c r="A10" s="1"/>
      <c r="B10" s="618" t="s">
        <v>862</v>
      </c>
      <c r="C10" s="618"/>
      <c r="D10" s="618"/>
      <c r="E10" s="618"/>
      <c r="F10" s="618"/>
    </row>
    <row r="11" spans="1:6" ht="15.95" customHeight="1" thickBot="1" x14ac:dyDescent="0.3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84" t="s">
        <v>350</v>
      </c>
      <c r="C12" s="185"/>
      <c r="D12" s="185" t="s">
        <v>453</v>
      </c>
      <c r="E12" s="185"/>
      <c r="F12" s="186" t="s">
        <v>415</v>
      </c>
    </row>
    <row r="13" spans="1:6" ht="22.5" customHeight="1" x14ac:dyDescent="0.4">
      <c r="A13" s="1"/>
      <c r="B13" s="187" t="s">
        <v>861</v>
      </c>
      <c r="C13" s="188"/>
      <c r="D13" s="189" t="s">
        <v>455</v>
      </c>
      <c r="E13" s="188"/>
      <c r="F13" s="190">
        <v>436000</v>
      </c>
    </row>
    <row r="14" spans="1:6" ht="23.25" customHeight="1" thickBot="1" x14ac:dyDescent="0.45">
      <c r="A14" s="1"/>
      <c r="B14" s="191" t="s">
        <v>343</v>
      </c>
      <c r="C14" s="192"/>
      <c r="D14" s="192"/>
      <c r="E14" s="192"/>
      <c r="F14" s="193">
        <f>SUM(F13:F13)</f>
        <v>436000</v>
      </c>
    </row>
    <row r="15" spans="1:6" ht="15.95" customHeight="1" thickBot="1" x14ac:dyDescent="0.3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84" t="s">
        <v>348</v>
      </c>
      <c r="C16" s="185" t="s">
        <v>456</v>
      </c>
      <c r="D16" s="185"/>
      <c r="E16" s="185" t="s">
        <v>457</v>
      </c>
      <c r="F16" s="186" t="s">
        <v>349</v>
      </c>
    </row>
    <row r="17" spans="1:6" ht="18" customHeight="1" x14ac:dyDescent="0.25">
      <c r="A17" s="1"/>
      <c r="B17" s="194" t="s">
        <v>863</v>
      </c>
      <c r="C17" s="563" t="s">
        <v>864</v>
      </c>
      <c r="D17" s="188"/>
      <c r="E17" s="195">
        <v>45771</v>
      </c>
      <c r="F17" s="196">
        <f>+F13</f>
        <v>436000</v>
      </c>
    </row>
    <row r="18" spans="1:6" ht="18.75" customHeight="1" x14ac:dyDescent="0.4">
      <c r="A18" s="1"/>
      <c r="B18" s="197"/>
      <c r="C18" s="198"/>
      <c r="D18" s="198"/>
      <c r="E18" s="565"/>
      <c r="F18" s="200"/>
    </row>
    <row r="19" spans="1:6" ht="15.95" customHeight="1" x14ac:dyDescent="0.25">
      <c r="A19" s="1"/>
      <c r="B19" s="1"/>
      <c r="C19" s="1"/>
      <c r="D19" s="1"/>
      <c r="E19" s="1"/>
      <c r="F19" s="1"/>
    </row>
    <row r="20" spans="1:6" ht="15.95" customHeight="1" x14ac:dyDescent="0.25">
      <c r="A20" s="1"/>
      <c r="B20" s="180" t="s">
        <v>431</v>
      </c>
      <c r="C20" s="180"/>
      <c r="D20" s="180"/>
      <c r="E20" s="180"/>
      <c r="F20" s="181">
        <f>+F17/12</f>
        <v>36333.333333333336</v>
      </c>
    </row>
    <row r="21" spans="1:6" ht="15.95" customHeight="1" x14ac:dyDescent="0.25">
      <c r="A21" s="1"/>
      <c r="B21" s="1"/>
      <c r="C21" s="1"/>
      <c r="D21" s="1"/>
      <c r="E21" s="1"/>
      <c r="F21" s="2"/>
    </row>
    <row r="22" spans="1:6" ht="15.95" customHeight="1" x14ac:dyDescent="0.25">
      <c r="A22" s="1"/>
      <c r="B22" s="17" t="s">
        <v>846</v>
      </c>
      <c r="C22" s="17" t="s">
        <v>851</v>
      </c>
      <c r="D22" s="2">
        <f>+F20</f>
        <v>36333.333333333336</v>
      </c>
      <c r="E22" s="23" t="s">
        <v>848</v>
      </c>
      <c r="F22" s="2">
        <f>+D22*9</f>
        <v>327000</v>
      </c>
    </row>
    <row r="23" spans="1:6" ht="15.95" customHeight="1" x14ac:dyDescent="0.25">
      <c r="A23" s="1"/>
      <c r="B23" s="17"/>
      <c r="C23" s="17"/>
      <c r="D23" s="2"/>
      <c r="E23" s="17"/>
      <c r="F23" s="2"/>
    </row>
    <row r="24" spans="1:6" ht="15.95" customHeight="1" x14ac:dyDescent="0.25">
      <c r="A24" s="1"/>
      <c r="B24" s="17" t="s">
        <v>847</v>
      </c>
      <c r="C24" s="17" t="s">
        <v>850</v>
      </c>
      <c r="D24" s="2">
        <f>+F20</f>
        <v>36333.333333333336</v>
      </c>
      <c r="E24" s="23" t="s">
        <v>849</v>
      </c>
      <c r="F24" s="2">
        <f>+F17-F22</f>
        <v>109000</v>
      </c>
    </row>
    <row r="25" spans="1:6" ht="15.95" customHeight="1" x14ac:dyDescent="0.25">
      <c r="A25" s="1"/>
      <c r="B25" s="1"/>
      <c r="C25" s="17"/>
      <c r="D25" s="2"/>
      <c r="E25" s="1"/>
      <c r="F25" s="1"/>
    </row>
    <row r="26" spans="1:6" ht="15.95" customHeight="1" x14ac:dyDescent="0.25">
      <c r="A26" s="1"/>
      <c r="B26" s="1"/>
      <c r="C26" s="17"/>
      <c r="D26" s="2"/>
      <c r="E26" s="1"/>
      <c r="F26" s="1"/>
    </row>
    <row r="27" spans="1:6" ht="15.95" customHeight="1" x14ac:dyDescent="0.25">
      <c r="A27" s="1"/>
      <c r="B27" s="1"/>
      <c r="C27" s="17"/>
      <c r="D27" s="2"/>
      <c r="E27" s="1"/>
      <c r="F27" s="1"/>
    </row>
    <row r="28" spans="1:6" ht="18" customHeight="1" x14ac:dyDescent="0.25">
      <c r="A28" s="1"/>
      <c r="B28" s="1"/>
      <c r="C28" s="17"/>
      <c r="D28" s="63"/>
      <c r="E28" s="63"/>
      <c r="F28" s="2"/>
    </row>
    <row r="29" spans="1:6" ht="18" customHeight="1" x14ac:dyDescent="0.25">
      <c r="A29" s="1"/>
      <c r="B29" s="1" t="s">
        <v>784</v>
      </c>
      <c r="C29" s="63"/>
      <c r="D29" s="63"/>
      <c r="E29" s="63"/>
      <c r="F29" s="2">
        <f>+F20</f>
        <v>36333.333333333336</v>
      </c>
    </row>
    <row r="30" spans="1:6" ht="18" customHeight="1" x14ac:dyDescent="0.25">
      <c r="A30" s="1"/>
      <c r="B30" s="3" t="s">
        <v>785</v>
      </c>
      <c r="C30" s="3"/>
      <c r="D30" s="3"/>
      <c r="E30" s="3"/>
      <c r="F30" s="26">
        <v>36333.33</v>
      </c>
    </row>
    <row r="31" spans="1:6" ht="18" hidden="1" customHeight="1" x14ac:dyDescent="0.25">
      <c r="A31" s="1"/>
      <c r="B31" s="1" t="s">
        <v>786</v>
      </c>
      <c r="C31" s="3"/>
      <c r="D31" s="3"/>
      <c r="E31" s="3"/>
      <c r="F31" s="2"/>
    </row>
    <row r="32" spans="1:6" ht="18" hidden="1" customHeight="1" x14ac:dyDescent="0.25">
      <c r="A32" s="1"/>
      <c r="B32" s="1" t="s">
        <v>787</v>
      </c>
      <c r="C32" s="3"/>
      <c r="D32" s="3"/>
      <c r="E32" s="3"/>
      <c r="F32" s="2"/>
    </row>
    <row r="33" spans="1:6" ht="18" hidden="1" customHeight="1" x14ac:dyDescent="0.25">
      <c r="A33" s="1"/>
      <c r="B33" s="1" t="s">
        <v>623</v>
      </c>
      <c r="C33" s="63"/>
      <c r="D33" s="63"/>
      <c r="E33" s="63"/>
      <c r="F33" s="2"/>
    </row>
    <row r="34" spans="1:6" ht="18" hidden="1" customHeight="1" x14ac:dyDescent="0.25">
      <c r="A34" s="1"/>
      <c r="B34" s="1" t="s">
        <v>852</v>
      </c>
      <c r="C34" s="63"/>
      <c r="D34" s="63"/>
      <c r="E34" s="63"/>
      <c r="F34" s="2"/>
    </row>
    <row r="35" spans="1:6" ht="15.75" hidden="1" x14ac:dyDescent="0.25">
      <c r="A35" s="1"/>
      <c r="B35" s="1" t="s">
        <v>853</v>
      </c>
      <c r="C35" s="63"/>
      <c r="D35" s="63"/>
      <c r="E35" s="63"/>
      <c r="F35" s="2"/>
    </row>
    <row r="36" spans="1:6" ht="15.75" hidden="1" x14ac:dyDescent="0.25">
      <c r="A36" s="1"/>
      <c r="B36" s="416" t="s">
        <v>854</v>
      </c>
      <c r="C36" s="63"/>
      <c r="D36" s="63"/>
      <c r="E36" s="63"/>
      <c r="F36" s="51"/>
    </row>
    <row r="37" spans="1:6" ht="15.75" hidden="1" x14ac:dyDescent="0.25">
      <c r="A37" s="1"/>
      <c r="B37" s="1" t="s">
        <v>855</v>
      </c>
      <c r="C37" s="3"/>
      <c r="D37" s="3"/>
      <c r="E37" s="3"/>
      <c r="F37" s="51"/>
    </row>
    <row r="38" spans="1:6" ht="15.75" hidden="1" x14ac:dyDescent="0.25">
      <c r="A38" s="1"/>
      <c r="B38" s="1" t="s">
        <v>856</v>
      </c>
      <c r="C38" s="1"/>
      <c r="D38" s="1"/>
      <c r="E38" s="1"/>
      <c r="F38" s="51"/>
    </row>
    <row r="39" spans="1:6" ht="15.75" hidden="1" x14ac:dyDescent="0.25">
      <c r="A39" s="1"/>
      <c r="B39" s="1" t="s">
        <v>857</v>
      </c>
      <c r="C39" s="63"/>
      <c r="D39" s="63"/>
      <c r="E39" s="63"/>
      <c r="F39" s="2"/>
    </row>
    <row r="40" spans="1:6" ht="18" hidden="1" x14ac:dyDescent="0.4">
      <c r="A40" s="1"/>
      <c r="B40" s="63" t="s">
        <v>858</v>
      </c>
      <c r="C40" s="63"/>
      <c r="D40" s="63"/>
      <c r="E40" s="63"/>
      <c r="F40" s="201"/>
    </row>
    <row r="41" spans="1:6" ht="18" customHeight="1" x14ac:dyDescent="0.25">
      <c r="A41" s="1"/>
      <c r="B41" s="1"/>
      <c r="C41" s="63"/>
      <c r="D41" s="63"/>
      <c r="E41" s="63"/>
      <c r="F41" s="1"/>
    </row>
    <row r="42" spans="1:6" ht="15.95" customHeight="1" x14ac:dyDescent="0.4">
      <c r="A42" s="1"/>
      <c r="B42" s="131" t="s">
        <v>119</v>
      </c>
      <c r="C42" s="63"/>
      <c r="D42" s="63"/>
      <c r="E42" s="63"/>
      <c r="F42" s="564">
        <f>SUM(F28:F39)+0</f>
        <v>72666.66333333333</v>
      </c>
    </row>
    <row r="43" spans="1:6" ht="23.25" customHeight="1" x14ac:dyDescent="0.4">
      <c r="A43" s="1"/>
      <c r="B43" s="63" t="s">
        <v>449</v>
      </c>
      <c r="C43" s="131"/>
      <c r="D43" s="131"/>
      <c r="E43" s="131"/>
      <c r="F43" s="202">
        <f>+F14-F42</f>
        <v>363333.33666666667</v>
      </c>
    </row>
    <row r="44" spans="1:6" ht="15.95" customHeight="1" x14ac:dyDescent="0.25">
      <c r="A44" s="1"/>
      <c r="B44" s="131"/>
      <c r="C44" s="63"/>
      <c r="D44" s="63"/>
      <c r="E44" s="63"/>
      <c r="F44" s="51"/>
    </row>
    <row r="45" spans="1:6" ht="24.75" customHeight="1" x14ac:dyDescent="0.25">
      <c r="A45" s="1"/>
      <c r="B45" s="63"/>
      <c r="C45" s="63"/>
      <c r="D45" s="63"/>
      <c r="E45" s="63"/>
      <c r="F45" s="63"/>
    </row>
    <row r="46" spans="1:6" ht="24.75" customHeight="1" x14ac:dyDescent="0.25">
      <c r="A46" s="1"/>
      <c r="B46" s="63"/>
      <c r="C46" s="63"/>
      <c r="D46" s="63"/>
      <c r="E46" s="63"/>
      <c r="F46" s="63"/>
    </row>
    <row r="47" spans="1:6" ht="24.75" customHeight="1" x14ac:dyDescent="0.25">
      <c r="B47" s="63"/>
      <c r="C47" s="63"/>
      <c r="D47" s="63"/>
      <c r="E47" s="63"/>
      <c r="F47" s="63"/>
    </row>
    <row r="48" spans="1:6" ht="24.75" customHeight="1" x14ac:dyDescent="0.25">
      <c r="B48" s="63"/>
      <c r="C48" s="63"/>
      <c r="D48" s="63"/>
      <c r="E48" s="63"/>
      <c r="F48" s="63"/>
    </row>
    <row r="49" spans="2:6" ht="24.75" customHeight="1" x14ac:dyDescent="0.25">
      <c r="B49" s="63"/>
      <c r="C49" s="63"/>
      <c r="D49" s="63"/>
      <c r="E49" s="63"/>
      <c r="F49" s="63"/>
    </row>
    <row r="50" spans="2:6" ht="24.75" customHeight="1" x14ac:dyDescent="0.25">
      <c r="B50" s="63"/>
      <c r="C50" s="63"/>
      <c r="D50" s="63"/>
      <c r="E50" s="63"/>
      <c r="F50" s="63"/>
    </row>
    <row r="51" spans="2:6" ht="24.75" customHeight="1" x14ac:dyDescent="0.25">
      <c r="B51" s="63"/>
      <c r="C51" s="63"/>
      <c r="D51" s="63"/>
      <c r="E51" s="63"/>
      <c r="F51" s="63"/>
    </row>
    <row r="52" spans="2:6" ht="24.75" customHeight="1" x14ac:dyDescent="0.25">
      <c r="B52" s="63"/>
      <c r="C52" s="63"/>
      <c r="D52" s="63"/>
      <c r="E52" s="63"/>
      <c r="F52" s="63"/>
    </row>
    <row r="53" spans="2:6" ht="24.75" customHeight="1" x14ac:dyDescent="0.25">
      <c r="B53" s="63"/>
      <c r="C53" s="63"/>
      <c r="D53" s="63"/>
      <c r="E53" s="63"/>
      <c r="F53" s="63"/>
    </row>
    <row r="55" spans="2:6" ht="24.75" customHeight="1" x14ac:dyDescent="0.25">
      <c r="D55" s="204"/>
    </row>
    <row r="56" spans="2:6" ht="24.75" customHeight="1" x14ac:dyDescent="0.25">
      <c r="D56" s="204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6"/>
  <sheetViews>
    <sheetView view="pageBreakPreview" zoomScaleNormal="100" zoomScaleSheetLayoutView="100" workbookViewId="0">
      <selection activeCell="H33" sqref="H33"/>
    </sheetView>
  </sheetViews>
  <sheetFormatPr baseColWidth="10" defaultColWidth="11.42578125" defaultRowHeight="24.75" customHeight="1" x14ac:dyDescent="0.25"/>
  <cols>
    <col min="1" max="1" width="4.7109375" style="203" customWidth="1"/>
    <col min="2" max="2" width="33" style="203" bestFit="1" customWidth="1"/>
    <col min="3" max="3" width="13.5703125" style="203" customWidth="1"/>
    <col min="4" max="4" width="17" style="203" customWidth="1"/>
    <col min="5" max="5" width="12" style="203" bestFit="1" customWidth="1"/>
    <col min="6" max="6" width="18.85546875" style="203" customWidth="1"/>
    <col min="7" max="7" width="16" style="1" bestFit="1" customWidth="1"/>
    <col min="8" max="16384" width="11.42578125" style="1"/>
  </cols>
  <sheetData>
    <row r="1" spans="1:6" ht="15.95" customHeight="1" x14ac:dyDescent="0.25">
      <c r="A1" s="1"/>
      <c r="B1" s="1"/>
      <c r="C1" s="1"/>
      <c r="D1" s="1"/>
      <c r="E1" s="1"/>
      <c r="F1" s="1"/>
    </row>
    <row r="2" spans="1:6" ht="15.95" customHeight="1" x14ac:dyDescent="0.25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625" t="s">
        <v>396</v>
      </c>
      <c r="C3" s="625"/>
      <c r="D3" s="625"/>
      <c r="E3" s="625"/>
      <c r="F3" s="625"/>
    </row>
    <row r="4" spans="1:6" ht="15.95" customHeight="1" x14ac:dyDescent="0.25">
      <c r="A4" s="1"/>
      <c r="B4" s="625" t="s">
        <v>268</v>
      </c>
      <c r="C4" s="625"/>
      <c r="D4" s="625"/>
      <c r="E4" s="625"/>
      <c r="F4" s="625"/>
    </row>
    <row r="5" spans="1:6" ht="15.95" customHeight="1" x14ac:dyDescent="0.25">
      <c r="A5" s="1"/>
      <c r="B5" s="625" t="s">
        <v>450</v>
      </c>
      <c r="C5" s="625"/>
      <c r="D5" s="625"/>
      <c r="E5" s="625"/>
      <c r="F5" s="625"/>
    </row>
    <row r="6" spans="1:6" ht="15.95" customHeight="1" x14ac:dyDescent="0.25">
      <c r="A6" s="1"/>
      <c r="B6" s="649">
        <v>45808</v>
      </c>
      <c r="C6" s="649"/>
      <c r="D6" s="649"/>
      <c r="E6" s="649"/>
      <c r="F6" s="649"/>
    </row>
    <row r="7" spans="1:6" ht="15.95" customHeight="1" x14ac:dyDescent="0.25">
      <c r="A7" s="1"/>
      <c r="B7" s="1"/>
      <c r="C7" s="1"/>
      <c r="D7" s="1"/>
      <c r="E7" s="1"/>
      <c r="F7" s="1"/>
    </row>
    <row r="8" spans="1:6" ht="21.75" customHeight="1" x14ac:dyDescent="0.25">
      <c r="A8" s="1"/>
      <c r="B8" s="650" t="s">
        <v>859</v>
      </c>
      <c r="C8" s="650"/>
      <c r="D8" s="650"/>
      <c r="E8" s="650"/>
      <c r="F8" s="650"/>
    </row>
    <row r="9" spans="1:6" ht="21.75" customHeight="1" x14ac:dyDescent="0.25">
      <c r="A9" s="1"/>
      <c r="B9" s="618" t="s">
        <v>451</v>
      </c>
      <c r="C9" s="618"/>
      <c r="D9" s="618"/>
      <c r="E9" s="618"/>
      <c r="F9" s="618"/>
    </row>
    <row r="10" spans="1:6" ht="21.75" customHeight="1" x14ac:dyDescent="0.25">
      <c r="A10" s="1"/>
      <c r="B10" s="618" t="s">
        <v>452</v>
      </c>
      <c r="C10" s="618"/>
      <c r="D10" s="618"/>
      <c r="E10" s="618"/>
      <c r="F10" s="618"/>
    </row>
    <row r="11" spans="1:6" ht="15.95" customHeight="1" thickBot="1" x14ac:dyDescent="0.3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84" t="s">
        <v>350</v>
      </c>
      <c r="C12" s="185"/>
      <c r="D12" s="185" t="s">
        <v>453</v>
      </c>
      <c r="E12" s="185"/>
      <c r="F12" s="186" t="s">
        <v>415</v>
      </c>
    </row>
    <row r="13" spans="1:6" ht="22.5" customHeight="1" x14ac:dyDescent="0.4">
      <c r="A13" s="1"/>
      <c r="B13" s="187" t="s">
        <v>454</v>
      </c>
      <c r="C13" s="188"/>
      <c r="D13" s="189" t="s">
        <v>455</v>
      </c>
      <c r="E13" s="188"/>
      <c r="F13" s="190">
        <v>1746748</v>
      </c>
    </row>
    <row r="14" spans="1:6" ht="23.25" customHeight="1" thickBot="1" x14ac:dyDescent="0.45">
      <c r="A14" s="1"/>
      <c r="B14" s="191" t="s">
        <v>343</v>
      </c>
      <c r="C14" s="192"/>
      <c r="D14" s="192"/>
      <c r="E14" s="192"/>
      <c r="F14" s="193">
        <f>SUM(F13:F13)</f>
        <v>1746748</v>
      </c>
    </row>
    <row r="15" spans="1:6" ht="15.95" customHeight="1" thickBot="1" x14ac:dyDescent="0.3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84" t="s">
        <v>348</v>
      </c>
      <c r="C16" s="185" t="s">
        <v>456</v>
      </c>
      <c r="D16" s="185"/>
      <c r="E16" s="185" t="s">
        <v>457</v>
      </c>
      <c r="F16" s="186" t="s">
        <v>349</v>
      </c>
    </row>
    <row r="17" spans="1:6" ht="18" customHeight="1" x14ac:dyDescent="0.25">
      <c r="A17" s="1"/>
      <c r="B17" s="194" t="s">
        <v>458</v>
      </c>
      <c r="C17" s="563" t="s">
        <v>845</v>
      </c>
      <c r="D17" s="188"/>
      <c r="E17" s="195">
        <v>45758</v>
      </c>
      <c r="F17" s="196">
        <f>+F13</f>
        <v>1746748</v>
      </c>
    </row>
    <row r="18" spans="1:6" ht="18.75" customHeight="1" x14ac:dyDescent="0.4">
      <c r="A18" s="1"/>
      <c r="B18" s="197"/>
      <c r="C18" s="198"/>
      <c r="D18" s="198"/>
      <c r="E18" s="199"/>
      <c r="F18" s="200"/>
    </row>
    <row r="19" spans="1:6" ht="15.95" customHeight="1" x14ac:dyDescent="0.25">
      <c r="A19" s="1"/>
      <c r="B19" s="1"/>
      <c r="C19" s="1"/>
      <c r="D19" s="1"/>
      <c r="E19" s="1"/>
      <c r="F19" s="1"/>
    </row>
    <row r="20" spans="1:6" ht="15.95" customHeight="1" x14ac:dyDescent="0.25">
      <c r="A20" s="1"/>
      <c r="B20" s="180" t="s">
        <v>431</v>
      </c>
      <c r="C20" s="180"/>
      <c r="D20" s="180"/>
      <c r="E20" s="180"/>
      <c r="F20" s="181">
        <f>+F17/12</f>
        <v>145562.33333333334</v>
      </c>
    </row>
    <row r="21" spans="1:6" ht="15.95" customHeight="1" x14ac:dyDescent="0.25">
      <c r="A21" s="1"/>
      <c r="B21" s="1"/>
      <c r="C21" s="1"/>
      <c r="D21" s="1"/>
      <c r="E21" s="1"/>
      <c r="F21" s="2"/>
    </row>
    <row r="22" spans="1:6" ht="15.95" customHeight="1" x14ac:dyDescent="0.25">
      <c r="A22" s="1"/>
      <c r="B22" s="17" t="s">
        <v>846</v>
      </c>
      <c r="C22" s="17" t="s">
        <v>851</v>
      </c>
      <c r="D22" s="2">
        <f>+F20</f>
        <v>145562.33333333334</v>
      </c>
      <c r="E22" s="23" t="s">
        <v>848</v>
      </c>
      <c r="F22" s="2">
        <f>+D22*9</f>
        <v>1310061</v>
      </c>
    </row>
    <row r="23" spans="1:6" ht="15.95" customHeight="1" x14ac:dyDescent="0.25">
      <c r="A23" s="1"/>
      <c r="B23" s="17"/>
      <c r="C23" s="17"/>
      <c r="D23" s="2"/>
      <c r="E23" s="17"/>
      <c r="F23" s="2"/>
    </row>
    <row r="24" spans="1:6" ht="15.95" customHeight="1" x14ac:dyDescent="0.25">
      <c r="A24" s="1"/>
      <c r="B24" s="17" t="s">
        <v>847</v>
      </c>
      <c r="C24" s="17" t="s">
        <v>850</v>
      </c>
      <c r="D24" s="2">
        <f>+F20</f>
        <v>145562.33333333334</v>
      </c>
      <c r="E24" s="23" t="s">
        <v>849</v>
      </c>
      <c r="F24" s="2">
        <f>+F17-F22</f>
        <v>436687</v>
      </c>
    </row>
    <row r="25" spans="1:6" ht="15.95" customHeight="1" x14ac:dyDescent="0.25">
      <c r="A25" s="1"/>
      <c r="B25" s="1"/>
      <c r="C25" s="17"/>
      <c r="D25" s="2"/>
      <c r="E25" s="1"/>
      <c r="F25" s="1"/>
    </row>
    <row r="26" spans="1:6" ht="15.95" customHeight="1" x14ac:dyDescent="0.25">
      <c r="A26" s="1"/>
      <c r="B26" s="1"/>
      <c r="C26" s="17"/>
      <c r="D26" s="2"/>
      <c r="E26" s="1"/>
      <c r="F26" s="1"/>
    </row>
    <row r="27" spans="1:6" ht="15.95" customHeight="1" x14ac:dyDescent="0.25">
      <c r="A27" s="1"/>
      <c r="B27" s="1"/>
      <c r="C27" s="17"/>
      <c r="D27" s="2"/>
      <c r="E27" s="1"/>
      <c r="F27" s="1"/>
    </row>
    <row r="28" spans="1:6" ht="18" customHeight="1" x14ac:dyDescent="0.25">
      <c r="A28" s="1"/>
      <c r="B28" s="1"/>
      <c r="C28" s="17"/>
      <c r="D28" s="63"/>
      <c r="E28" s="63"/>
      <c r="F28" s="2"/>
    </row>
    <row r="29" spans="1:6" ht="18" customHeight="1" x14ac:dyDescent="0.25">
      <c r="A29" s="1"/>
      <c r="B29" s="1" t="s">
        <v>784</v>
      </c>
      <c r="C29" s="63"/>
      <c r="D29" s="63"/>
      <c r="E29" s="63"/>
      <c r="F29" s="2">
        <f>+F20</f>
        <v>145562.33333333334</v>
      </c>
    </row>
    <row r="30" spans="1:6" ht="18" customHeight="1" x14ac:dyDescent="0.4">
      <c r="A30" s="1"/>
      <c r="B30" s="3" t="s">
        <v>785</v>
      </c>
      <c r="C30" s="3"/>
      <c r="D30" s="3"/>
      <c r="E30" s="3"/>
      <c r="F30" s="201">
        <v>145562.33333333334</v>
      </c>
    </row>
    <row r="31" spans="1:6" ht="18" hidden="1" customHeight="1" x14ac:dyDescent="0.25">
      <c r="A31" s="1"/>
      <c r="B31" s="1" t="s">
        <v>786</v>
      </c>
      <c r="C31" s="3"/>
      <c r="D31" s="3"/>
      <c r="E31" s="3"/>
      <c r="F31" s="2"/>
    </row>
    <row r="32" spans="1:6" ht="18" hidden="1" customHeight="1" x14ac:dyDescent="0.25">
      <c r="A32" s="1"/>
      <c r="B32" s="1" t="s">
        <v>787</v>
      </c>
      <c r="C32" s="3"/>
      <c r="D32" s="3"/>
      <c r="E32" s="3"/>
      <c r="F32" s="2"/>
    </row>
    <row r="33" spans="1:7" ht="18" hidden="1" customHeight="1" x14ac:dyDescent="0.25">
      <c r="A33" s="1"/>
      <c r="B33" s="1" t="s">
        <v>623</v>
      </c>
      <c r="C33" s="63"/>
      <c r="D33" s="63"/>
      <c r="E33" s="63"/>
      <c r="F33" s="2"/>
    </row>
    <row r="34" spans="1:7" ht="18" hidden="1" customHeight="1" x14ac:dyDescent="0.25">
      <c r="A34" s="1"/>
      <c r="B34" s="1" t="s">
        <v>852</v>
      </c>
      <c r="C34" s="63"/>
      <c r="D34" s="63"/>
      <c r="E34" s="63"/>
      <c r="F34" s="2"/>
    </row>
    <row r="35" spans="1:7" ht="15.75" hidden="1" x14ac:dyDescent="0.25">
      <c r="A35" s="1"/>
      <c r="B35" s="1" t="s">
        <v>853</v>
      </c>
      <c r="C35" s="63"/>
      <c r="D35" s="63"/>
      <c r="E35" s="63"/>
      <c r="F35" s="2"/>
    </row>
    <row r="36" spans="1:7" ht="15.75" hidden="1" x14ac:dyDescent="0.25">
      <c r="A36" s="1"/>
      <c r="B36" s="416" t="s">
        <v>854</v>
      </c>
      <c r="C36" s="63"/>
      <c r="D36" s="63"/>
      <c r="E36" s="63"/>
      <c r="F36" s="51"/>
    </row>
    <row r="37" spans="1:7" ht="15.75" hidden="1" x14ac:dyDescent="0.25">
      <c r="A37" s="1"/>
      <c r="B37" s="1" t="s">
        <v>855</v>
      </c>
      <c r="C37" s="3"/>
      <c r="D37" s="3"/>
      <c r="E37" s="3"/>
      <c r="F37" s="51"/>
    </row>
    <row r="38" spans="1:7" ht="15.75" hidden="1" x14ac:dyDescent="0.25">
      <c r="A38" s="1"/>
      <c r="B38" s="1" t="s">
        <v>856</v>
      </c>
      <c r="C38" s="1"/>
      <c r="D38" s="1"/>
      <c r="E38" s="1"/>
      <c r="F38" s="51"/>
    </row>
    <row r="39" spans="1:7" ht="15.75" hidden="1" x14ac:dyDescent="0.25">
      <c r="A39" s="1"/>
      <c r="B39" s="1" t="s">
        <v>857</v>
      </c>
      <c r="C39" s="63"/>
      <c r="D39" s="63"/>
      <c r="E39" s="63"/>
      <c r="F39" s="2"/>
    </row>
    <row r="40" spans="1:7" ht="18" hidden="1" x14ac:dyDescent="0.4">
      <c r="A40" s="1"/>
      <c r="B40" s="63" t="s">
        <v>858</v>
      </c>
      <c r="C40" s="63"/>
      <c r="D40" s="63"/>
      <c r="E40" s="63"/>
      <c r="F40" s="201"/>
    </row>
    <row r="41" spans="1:7" ht="18" hidden="1" customHeight="1" x14ac:dyDescent="0.25">
      <c r="A41" s="1"/>
      <c r="B41" s="1"/>
      <c r="C41" s="63"/>
      <c r="D41" s="63"/>
      <c r="E41" s="63"/>
      <c r="F41" s="1"/>
      <c r="G41" s="18"/>
    </row>
    <row r="42" spans="1:7" ht="15.95" customHeight="1" x14ac:dyDescent="0.4">
      <c r="A42" s="1"/>
      <c r="B42" s="131" t="s">
        <v>119</v>
      </c>
      <c r="C42" s="63"/>
      <c r="D42" s="63"/>
      <c r="E42" s="63"/>
      <c r="F42" s="564">
        <f>SUM(F28:F39)+0</f>
        <v>291124.66666666669</v>
      </c>
    </row>
    <row r="43" spans="1:7" ht="23.25" customHeight="1" x14ac:dyDescent="0.4">
      <c r="A43" s="1"/>
      <c r="B43" s="63" t="s">
        <v>449</v>
      </c>
      <c r="C43" s="131"/>
      <c r="D43" s="131"/>
      <c r="E43" s="131"/>
      <c r="F43" s="202">
        <f>+F14-F42</f>
        <v>1455623.3333333333</v>
      </c>
      <c r="G43" s="311"/>
    </row>
    <row r="44" spans="1:7" ht="15.95" customHeight="1" x14ac:dyDescent="0.25">
      <c r="A44" s="1"/>
      <c r="B44" s="131"/>
      <c r="C44" s="63"/>
      <c r="D44" s="63"/>
      <c r="E44" s="63"/>
      <c r="F44" s="51"/>
    </row>
    <row r="45" spans="1:7" ht="24.75" customHeight="1" x14ac:dyDescent="0.25">
      <c r="A45" s="1"/>
      <c r="B45" s="63"/>
      <c r="C45" s="63"/>
      <c r="D45" s="63"/>
      <c r="E45" s="63"/>
      <c r="F45" s="63"/>
      <c r="G45" s="63"/>
    </row>
    <row r="46" spans="1:7" ht="24.75" customHeight="1" x14ac:dyDescent="0.25">
      <c r="A46" s="1"/>
      <c r="B46" s="63"/>
      <c r="C46" s="63"/>
      <c r="D46" s="63"/>
      <c r="E46" s="63"/>
      <c r="F46" s="63"/>
      <c r="G46" s="63"/>
    </row>
    <row r="47" spans="1:7" ht="24.75" customHeight="1" x14ac:dyDescent="0.25">
      <c r="B47" s="63"/>
      <c r="C47" s="63"/>
      <c r="D47" s="63"/>
      <c r="E47" s="63"/>
      <c r="F47" s="63"/>
      <c r="G47" s="63"/>
    </row>
    <row r="48" spans="1:7" ht="24.75" customHeight="1" x14ac:dyDescent="0.25">
      <c r="B48" s="63"/>
      <c r="C48" s="63"/>
      <c r="D48" s="63"/>
      <c r="E48" s="63"/>
      <c r="F48" s="63"/>
      <c r="G48" s="63"/>
    </row>
    <row r="49" spans="2:7" ht="24.75" customHeight="1" x14ac:dyDescent="0.25">
      <c r="B49" s="63"/>
      <c r="C49" s="63"/>
      <c r="D49" s="63"/>
      <c r="E49" s="63"/>
      <c r="F49" s="63"/>
      <c r="G49" s="63"/>
    </row>
    <row r="50" spans="2:7" ht="24.75" customHeight="1" x14ac:dyDescent="0.25">
      <c r="B50" s="63"/>
      <c r="C50" s="63"/>
      <c r="D50" s="63"/>
      <c r="E50" s="63"/>
      <c r="F50" s="63"/>
      <c r="G50" s="63"/>
    </row>
    <row r="51" spans="2:7" ht="24.75" customHeight="1" x14ac:dyDescent="0.25">
      <c r="B51" s="63"/>
      <c r="C51" s="63"/>
      <c r="D51" s="63"/>
      <c r="E51" s="63"/>
      <c r="F51" s="63"/>
      <c r="G51" s="63"/>
    </row>
    <row r="52" spans="2:7" ht="24.75" customHeight="1" x14ac:dyDescent="0.25">
      <c r="B52" s="63"/>
      <c r="C52" s="63"/>
      <c r="D52" s="63"/>
      <c r="E52" s="63"/>
      <c r="F52" s="63"/>
      <c r="G52" s="63"/>
    </row>
    <row r="53" spans="2:7" ht="24.75" customHeight="1" x14ac:dyDescent="0.25">
      <c r="B53" s="63"/>
      <c r="C53" s="63"/>
      <c r="D53" s="63"/>
      <c r="E53" s="63"/>
      <c r="F53" s="63"/>
      <c r="G53" s="63"/>
    </row>
    <row r="55" spans="2:7" ht="24.75" customHeight="1" x14ac:dyDescent="0.25">
      <c r="D55" s="204"/>
    </row>
    <row r="56" spans="2:7" ht="24.75" customHeight="1" x14ac:dyDescent="0.25">
      <c r="D56" s="204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honeticPr fontId="59" type="noConversion"/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74F-8E1F-4C20-B40A-9CF8D7BFFBCF}">
  <sheetPr>
    <pageSetUpPr fitToPage="1"/>
  </sheetPr>
  <dimension ref="B5:F47"/>
  <sheetViews>
    <sheetView topLeftCell="A24" workbookViewId="0">
      <selection activeCell="E21" sqref="E21"/>
    </sheetView>
  </sheetViews>
  <sheetFormatPr baseColWidth="10" defaultColWidth="11.42578125" defaultRowHeight="12.75" x14ac:dyDescent="0.2"/>
  <cols>
    <col min="1" max="1" width="2.5703125" style="127" customWidth="1"/>
    <col min="2" max="2" width="34.7109375" style="127" bestFit="1" customWidth="1"/>
    <col min="3" max="3" width="27.85546875" style="127" bestFit="1" customWidth="1"/>
    <col min="4" max="4" width="14.140625" style="127" bestFit="1" customWidth="1"/>
    <col min="5" max="5" width="11.42578125" style="127"/>
    <col min="6" max="6" width="16.42578125" style="127" bestFit="1" customWidth="1"/>
    <col min="7" max="16384" width="11.42578125" style="127"/>
  </cols>
  <sheetData>
    <row r="5" spans="2:6" ht="18.75" x14ac:dyDescent="0.3">
      <c r="B5" s="621" t="s">
        <v>396</v>
      </c>
      <c r="C5" s="621"/>
      <c r="D5" s="621"/>
      <c r="E5" s="621"/>
      <c r="F5" s="621"/>
    </row>
    <row r="6" spans="2:6" ht="18.75" x14ac:dyDescent="0.3">
      <c r="B6" s="621" t="s">
        <v>268</v>
      </c>
      <c r="C6" s="621"/>
      <c r="D6" s="621"/>
      <c r="E6" s="621"/>
      <c r="F6" s="621"/>
    </row>
    <row r="7" spans="2:6" ht="15.75" x14ac:dyDescent="0.25">
      <c r="B7" s="625" t="s">
        <v>400</v>
      </c>
      <c r="C7" s="625"/>
      <c r="D7" s="625"/>
      <c r="E7" s="625"/>
      <c r="F7" s="625"/>
    </row>
    <row r="8" spans="2:6" ht="15.75" x14ac:dyDescent="0.25">
      <c r="B8" s="649">
        <v>45808</v>
      </c>
      <c r="C8" s="649"/>
      <c r="D8" s="649"/>
      <c r="E8" s="649"/>
      <c r="F8" s="649"/>
    </row>
    <row r="9" spans="2:6" ht="15.75" x14ac:dyDescent="0.25">
      <c r="B9" s="1"/>
      <c r="C9" s="1"/>
      <c r="D9" s="1"/>
      <c r="E9" s="1"/>
      <c r="F9" s="1"/>
    </row>
    <row r="10" spans="2:6" ht="15.75" x14ac:dyDescent="0.25">
      <c r="B10" s="650" t="s">
        <v>464</v>
      </c>
      <c r="C10" s="650"/>
      <c r="D10" s="650"/>
      <c r="E10" s="650"/>
      <c r="F10" s="650"/>
    </row>
    <row r="11" spans="2:6" ht="15.75" x14ac:dyDescent="0.25">
      <c r="B11" s="618" t="s">
        <v>465</v>
      </c>
      <c r="C11" s="618"/>
      <c r="D11" s="618"/>
      <c r="E11" s="618"/>
      <c r="F11" s="618"/>
    </row>
    <row r="12" spans="2:6" ht="15.75" x14ac:dyDescent="0.25">
      <c r="B12" s="618" t="s">
        <v>466</v>
      </c>
      <c r="C12" s="618"/>
      <c r="D12" s="618"/>
      <c r="E12" s="618"/>
      <c r="F12" s="618"/>
    </row>
    <row r="13" spans="2:6" ht="16.5" thickBot="1" x14ac:dyDescent="0.3">
      <c r="B13" s="1"/>
      <c r="C13" s="1"/>
      <c r="D13" s="1"/>
      <c r="E13" s="1"/>
      <c r="F13" s="1"/>
    </row>
    <row r="14" spans="2:6" ht="16.5" thickBot="1" x14ac:dyDescent="0.3">
      <c r="B14" s="184" t="s">
        <v>350</v>
      </c>
      <c r="C14" s="185"/>
      <c r="D14" s="185" t="s">
        <v>453</v>
      </c>
      <c r="E14" s="185"/>
      <c r="F14" s="186" t="s">
        <v>415</v>
      </c>
    </row>
    <row r="15" spans="2:6" ht="20.25" customHeight="1" x14ac:dyDescent="0.4">
      <c r="B15" s="205" t="s">
        <v>467</v>
      </c>
      <c r="C15" s="188"/>
      <c r="D15" s="189" t="s">
        <v>455</v>
      </c>
      <c r="E15" s="188"/>
      <c r="F15" s="190">
        <v>900000</v>
      </c>
    </row>
    <row r="16" spans="2:6" ht="18.75" thickBot="1" x14ac:dyDescent="0.45">
      <c r="B16" s="191" t="s">
        <v>343</v>
      </c>
      <c r="C16" s="192"/>
      <c r="D16" s="192"/>
      <c r="E16" s="192"/>
      <c r="F16" s="193">
        <f>SUM(F15:F15)</f>
        <v>900000</v>
      </c>
    </row>
    <row r="17" spans="2:6" ht="16.5" thickBot="1" x14ac:dyDescent="0.3">
      <c r="B17" s="1"/>
      <c r="C17" s="1"/>
      <c r="D17" s="1"/>
      <c r="E17" s="1"/>
      <c r="F17" s="1"/>
    </row>
    <row r="18" spans="2:6" ht="16.5" thickBot="1" x14ac:dyDescent="0.3">
      <c r="B18" s="184" t="s">
        <v>348</v>
      </c>
      <c r="C18" s="185" t="s">
        <v>456</v>
      </c>
      <c r="D18" s="185"/>
      <c r="E18" s="185" t="s">
        <v>457</v>
      </c>
      <c r="F18" s="186" t="s">
        <v>349</v>
      </c>
    </row>
    <row r="19" spans="2:6" ht="15.75" x14ac:dyDescent="0.25">
      <c r="B19" s="207" t="s">
        <v>468</v>
      </c>
      <c r="C19" s="208" t="s">
        <v>469</v>
      </c>
      <c r="D19" s="209"/>
      <c r="E19" s="210">
        <v>45510</v>
      </c>
      <c r="F19" s="211">
        <v>900000</v>
      </c>
    </row>
    <row r="20" spans="2:6" ht="18.75" thickBot="1" x14ac:dyDescent="0.45">
      <c r="B20" s="212"/>
      <c r="C20" s="213"/>
      <c r="D20" s="213"/>
      <c r="E20" s="214"/>
      <c r="F20" s="215"/>
    </row>
    <row r="21" spans="2:6" ht="15.75" x14ac:dyDescent="0.25">
      <c r="B21" s="1"/>
      <c r="C21" s="1"/>
      <c r="D21" s="1"/>
      <c r="E21" s="1"/>
      <c r="F21" s="1"/>
    </row>
    <row r="22" spans="2:6" ht="15.75" x14ac:dyDescent="0.25">
      <c r="B22" s="180" t="s">
        <v>431</v>
      </c>
      <c r="C22" s="180"/>
      <c r="D22" s="180"/>
      <c r="E22" s="180"/>
      <c r="F22" s="181">
        <f>+F19/12</f>
        <v>75000</v>
      </c>
    </row>
    <row r="23" spans="2:6" ht="15.75" x14ac:dyDescent="0.25">
      <c r="B23" s="1"/>
      <c r="C23" s="1"/>
      <c r="D23" s="1"/>
      <c r="E23" s="1"/>
      <c r="F23" s="2"/>
    </row>
    <row r="24" spans="2:6" ht="15.75" x14ac:dyDescent="0.25">
      <c r="B24" s="206" t="s">
        <v>470</v>
      </c>
      <c r="C24" s="17" t="s">
        <v>471</v>
      </c>
      <c r="D24" s="2">
        <f>+F22</f>
        <v>75000</v>
      </c>
      <c r="E24" s="23" t="s">
        <v>472</v>
      </c>
      <c r="F24" s="2">
        <f>+D24*5</f>
        <v>375000</v>
      </c>
    </row>
    <row r="25" spans="2:6" ht="15.75" x14ac:dyDescent="0.25">
      <c r="B25" s="17"/>
      <c r="C25" s="17"/>
      <c r="D25" s="2"/>
      <c r="E25" s="17"/>
      <c r="F25" s="2"/>
    </row>
    <row r="26" spans="2:6" ht="15.75" x14ac:dyDescent="0.25">
      <c r="B26" s="206" t="s">
        <v>473</v>
      </c>
      <c r="C26" s="17" t="s">
        <v>474</v>
      </c>
      <c r="D26" s="2">
        <f>+F22</f>
        <v>75000</v>
      </c>
      <c r="E26" s="23" t="s">
        <v>475</v>
      </c>
      <c r="F26" s="2">
        <f>+D26*7</f>
        <v>525000</v>
      </c>
    </row>
    <row r="27" spans="2:6" ht="15.75" x14ac:dyDescent="0.25">
      <c r="B27" s="1"/>
      <c r="C27" s="17"/>
      <c r="D27" s="2"/>
      <c r="E27" s="1"/>
      <c r="F27" s="1"/>
    </row>
    <row r="28" spans="2:6" ht="15.75" x14ac:dyDescent="0.25">
      <c r="B28" s="1"/>
      <c r="C28" s="17"/>
      <c r="D28" s="2"/>
      <c r="E28" s="1"/>
      <c r="F28" s="1"/>
    </row>
    <row r="29" spans="2:6" ht="15.75" x14ac:dyDescent="0.25">
      <c r="B29" s="1" t="s">
        <v>462</v>
      </c>
      <c r="C29" s="17"/>
      <c r="D29" s="2"/>
      <c r="E29" s="1"/>
      <c r="F29" s="2">
        <v>75000</v>
      </c>
    </row>
    <row r="30" spans="2:6" ht="15.75" x14ac:dyDescent="0.25">
      <c r="B30" s="63" t="s">
        <v>476</v>
      </c>
      <c r="C30" s="63"/>
      <c r="D30" s="63"/>
      <c r="E30" s="63"/>
      <c r="F30" s="2">
        <v>75000</v>
      </c>
    </row>
    <row r="31" spans="2:6" ht="15.75" x14ac:dyDescent="0.25">
      <c r="B31" s="1" t="s">
        <v>477</v>
      </c>
      <c r="C31" s="63"/>
      <c r="D31" s="63"/>
      <c r="E31" s="63"/>
      <c r="F31" s="2">
        <v>75000</v>
      </c>
    </row>
    <row r="32" spans="2:6" ht="15.75" x14ac:dyDescent="0.25">
      <c r="B32" s="416" t="s">
        <v>478</v>
      </c>
      <c r="C32" s="3"/>
      <c r="D32" s="3"/>
      <c r="E32" s="3"/>
      <c r="F32" s="2">
        <v>75000</v>
      </c>
    </row>
    <row r="33" spans="2:6" ht="15.75" x14ac:dyDescent="0.25">
      <c r="B33" s="1" t="s">
        <v>479</v>
      </c>
      <c r="C33" s="3"/>
      <c r="D33" s="3"/>
      <c r="E33" s="3"/>
      <c r="F33" s="2">
        <v>75000</v>
      </c>
    </row>
    <row r="34" spans="2:6" ht="15.75" x14ac:dyDescent="0.25">
      <c r="B34" s="1" t="s">
        <v>480</v>
      </c>
      <c r="C34" s="3"/>
      <c r="D34" s="3"/>
      <c r="E34" s="3"/>
      <c r="F34" s="2">
        <v>75000</v>
      </c>
    </row>
    <row r="35" spans="2:6" ht="15.75" x14ac:dyDescent="0.25">
      <c r="B35" s="1" t="s">
        <v>463</v>
      </c>
      <c r="C35" s="63"/>
      <c r="D35" s="63"/>
      <c r="E35" s="63"/>
      <c r="F35" s="2">
        <v>75000</v>
      </c>
    </row>
    <row r="36" spans="2:6" ht="15.75" x14ac:dyDescent="0.25">
      <c r="B36" s="1" t="s">
        <v>481</v>
      </c>
      <c r="C36" s="63"/>
      <c r="D36" s="63"/>
      <c r="E36" s="63"/>
      <c r="F36" s="2">
        <v>75000</v>
      </c>
    </row>
    <row r="37" spans="2:6" ht="15.75" x14ac:dyDescent="0.25">
      <c r="B37" s="1" t="s">
        <v>482</v>
      </c>
      <c r="C37" s="63"/>
      <c r="D37" s="63"/>
      <c r="E37" s="63"/>
      <c r="F37" s="2">
        <v>75000</v>
      </c>
    </row>
    <row r="38" spans="2:6" ht="18" x14ac:dyDescent="0.4">
      <c r="B38" s="3" t="s">
        <v>483</v>
      </c>
      <c r="C38" s="63"/>
      <c r="D38" s="63"/>
      <c r="E38" s="63"/>
      <c r="F38" s="201">
        <v>75000</v>
      </c>
    </row>
    <row r="39" spans="2:6" ht="15.75" hidden="1" x14ac:dyDescent="0.25">
      <c r="B39" s="1" t="s">
        <v>484</v>
      </c>
      <c r="C39" s="63"/>
      <c r="D39" s="63"/>
      <c r="E39" s="63"/>
      <c r="F39" s="2"/>
    </row>
    <row r="40" spans="2:6" ht="15.75" hidden="1" x14ac:dyDescent="0.25">
      <c r="B40" s="63" t="s">
        <v>485</v>
      </c>
      <c r="C40" s="1"/>
      <c r="D40" s="1"/>
      <c r="E40" s="1"/>
      <c r="F40" s="2"/>
    </row>
    <row r="41" spans="2:6" ht="15.75" x14ac:dyDescent="0.25">
      <c r="B41" s="131" t="s">
        <v>119</v>
      </c>
      <c r="C41" s="63"/>
      <c r="D41" s="63"/>
      <c r="E41" s="63"/>
      <c r="F41" s="61">
        <f>SUM(F29:F40)+0</f>
        <v>750000</v>
      </c>
    </row>
    <row r="42" spans="2:6" ht="15.75" x14ac:dyDescent="0.25">
      <c r="B42" s="63"/>
      <c r="C42" s="63"/>
      <c r="D42" s="63"/>
      <c r="E42" s="63"/>
      <c r="F42" s="51"/>
    </row>
    <row r="43" spans="2:6" ht="18" x14ac:dyDescent="0.4">
      <c r="B43" s="131" t="s">
        <v>449</v>
      </c>
      <c r="C43" s="131"/>
      <c r="D43" s="131"/>
      <c r="E43" s="131"/>
      <c r="F43" s="356">
        <f>+F16-F41</f>
        <v>150000</v>
      </c>
    </row>
    <row r="44" spans="2:6" ht="15.75" x14ac:dyDescent="0.25">
      <c r="B44" s="63"/>
      <c r="C44" s="63"/>
      <c r="D44" s="63"/>
      <c r="E44" s="63"/>
      <c r="F44" s="51"/>
    </row>
    <row r="47" spans="2:6" x14ac:dyDescent="0.2">
      <c r="F47" s="152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FAAC-D7A2-489E-BF22-5E6D40370F14}">
  <sheetPr>
    <pageSetUpPr fitToPage="1"/>
  </sheetPr>
  <dimension ref="B5:F48"/>
  <sheetViews>
    <sheetView topLeftCell="A24" workbookViewId="0">
      <selection activeCell="H33" sqref="H33"/>
    </sheetView>
  </sheetViews>
  <sheetFormatPr baseColWidth="10" defaultColWidth="11.42578125" defaultRowHeight="12.75" x14ac:dyDescent="0.2"/>
  <cols>
    <col min="1" max="1" width="2.5703125" style="127" customWidth="1"/>
    <col min="2" max="2" width="34.7109375" style="127" bestFit="1" customWidth="1"/>
    <col min="3" max="3" width="27.85546875" style="127" bestFit="1" customWidth="1"/>
    <col min="4" max="4" width="14.140625" style="127" bestFit="1" customWidth="1"/>
    <col min="5" max="5" width="12.140625" style="127" bestFit="1" customWidth="1"/>
    <col min="6" max="6" width="17" style="127" bestFit="1" customWidth="1"/>
    <col min="7" max="16384" width="11.42578125" style="127"/>
  </cols>
  <sheetData>
    <row r="5" spans="2:6" ht="18.75" x14ac:dyDescent="0.3">
      <c r="B5" s="621" t="s">
        <v>396</v>
      </c>
      <c r="C5" s="621"/>
      <c r="D5" s="621"/>
      <c r="E5" s="621"/>
      <c r="F5" s="621"/>
    </row>
    <row r="6" spans="2:6" ht="18.75" x14ac:dyDescent="0.3">
      <c r="B6" s="621" t="s">
        <v>268</v>
      </c>
      <c r="C6" s="621"/>
      <c r="D6" s="621"/>
      <c r="E6" s="621"/>
      <c r="F6" s="621"/>
    </row>
    <row r="7" spans="2:6" ht="15.75" x14ac:dyDescent="0.25">
      <c r="B7" s="625" t="s">
        <v>401</v>
      </c>
      <c r="C7" s="625"/>
      <c r="D7" s="625"/>
      <c r="E7" s="625"/>
      <c r="F7" s="625"/>
    </row>
    <row r="8" spans="2:6" ht="15.75" x14ac:dyDescent="0.25">
      <c r="B8" s="649">
        <v>45808</v>
      </c>
      <c r="C8" s="649"/>
      <c r="D8" s="649"/>
      <c r="E8" s="649"/>
      <c r="F8" s="649"/>
    </row>
    <row r="9" spans="2:6" ht="15.75" x14ac:dyDescent="0.25">
      <c r="B9" s="1"/>
      <c r="C9" s="1"/>
      <c r="D9" s="1"/>
      <c r="E9" s="1"/>
      <c r="F9" s="1"/>
    </row>
    <row r="10" spans="2:6" ht="15.75" x14ac:dyDescent="0.25">
      <c r="B10" s="650" t="s">
        <v>464</v>
      </c>
      <c r="C10" s="650"/>
      <c r="D10" s="650"/>
      <c r="E10" s="650"/>
      <c r="F10" s="650"/>
    </row>
    <row r="11" spans="2:6" ht="15.75" x14ac:dyDescent="0.25">
      <c r="B11" s="618" t="s">
        <v>451</v>
      </c>
      <c r="C11" s="618"/>
      <c r="D11" s="618"/>
      <c r="E11" s="618"/>
      <c r="F11" s="618"/>
    </row>
    <row r="12" spans="2:6" ht="15.75" x14ac:dyDescent="0.25">
      <c r="B12" s="651" t="s">
        <v>486</v>
      </c>
      <c r="C12" s="651"/>
      <c r="D12" s="651"/>
      <c r="E12" s="651"/>
      <c r="F12" s="651"/>
    </row>
    <row r="13" spans="2:6" ht="16.5" thickBot="1" x14ac:dyDescent="0.3">
      <c r="B13" s="1"/>
      <c r="C13" s="1"/>
      <c r="D13" s="1"/>
      <c r="E13" s="1"/>
      <c r="F13" s="1"/>
    </row>
    <row r="14" spans="2:6" ht="16.5" thickBot="1" x14ac:dyDescent="0.3">
      <c r="B14" s="184" t="s">
        <v>350</v>
      </c>
      <c r="C14" s="185"/>
      <c r="D14" s="185" t="s">
        <v>453</v>
      </c>
      <c r="E14" s="185"/>
      <c r="F14" s="186" t="s">
        <v>415</v>
      </c>
    </row>
    <row r="15" spans="2:6" ht="20.25" customHeight="1" x14ac:dyDescent="0.4">
      <c r="B15" s="205" t="s">
        <v>486</v>
      </c>
      <c r="C15" s="188"/>
      <c r="D15" s="189" t="s">
        <v>455</v>
      </c>
      <c r="E15" s="188"/>
      <c r="F15" s="190">
        <v>1445000</v>
      </c>
    </row>
    <row r="16" spans="2:6" ht="18.75" thickBot="1" x14ac:dyDescent="0.45">
      <c r="B16" s="191" t="s">
        <v>343</v>
      </c>
      <c r="C16" s="192"/>
      <c r="D16" s="192"/>
      <c r="E16" s="192"/>
      <c r="F16" s="193">
        <f>SUM(F15:F15)</f>
        <v>1445000</v>
      </c>
    </row>
    <row r="17" spans="2:6" ht="16.5" thickBot="1" x14ac:dyDescent="0.3">
      <c r="B17" s="1"/>
      <c r="C17" s="1"/>
      <c r="D17" s="1"/>
      <c r="E17" s="1"/>
      <c r="F17" s="1"/>
    </row>
    <row r="18" spans="2:6" ht="16.5" thickBot="1" x14ac:dyDescent="0.3">
      <c r="B18" s="184" t="s">
        <v>348</v>
      </c>
      <c r="C18" s="185" t="s">
        <v>456</v>
      </c>
      <c r="D18" s="185"/>
      <c r="E18" s="185" t="s">
        <v>457</v>
      </c>
      <c r="F18" s="186" t="s">
        <v>349</v>
      </c>
    </row>
    <row r="19" spans="2:6" ht="15.75" x14ac:dyDescent="0.25">
      <c r="B19" s="194" t="s">
        <v>458</v>
      </c>
      <c r="C19" s="208" t="s">
        <v>717</v>
      </c>
      <c r="D19" s="209"/>
      <c r="E19" s="210">
        <v>45531</v>
      </c>
      <c r="F19" s="211">
        <f>+F16</f>
        <v>1445000</v>
      </c>
    </row>
    <row r="20" spans="2:6" ht="18.75" thickBot="1" x14ac:dyDescent="0.45">
      <c r="B20" s="212"/>
      <c r="C20" s="213"/>
      <c r="D20" s="213"/>
      <c r="E20" s="214"/>
      <c r="F20" s="215"/>
    </row>
    <row r="21" spans="2:6" ht="15.75" x14ac:dyDescent="0.25">
      <c r="B21" s="1"/>
      <c r="C21" s="1"/>
      <c r="D21" s="1"/>
      <c r="E21" s="1"/>
      <c r="F21" s="1"/>
    </row>
    <row r="22" spans="2:6" ht="15.75" x14ac:dyDescent="0.25">
      <c r="B22" s="465" t="s">
        <v>431</v>
      </c>
      <c r="C22" s="465"/>
      <c r="D22" s="465"/>
      <c r="E22" s="465"/>
      <c r="F22" s="466">
        <f>+F19/12</f>
        <v>120416.66666666667</v>
      </c>
    </row>
    <row r="23" spans="2:6" ht="15.75" x14ac:dyDescent="0.25">
      <c r="B23" s="1"/>
      <c r="C23" s="1"/>
      <c r="D23" s="1"/>
      <c r="E23" s="1"/>
      <c r="F23" s="2"/>
    </row>
    <row r="24" spans="2:6" ht="15.75" x14ac:dyDescent="0.25">
      <c r="B24" s="206" t="s">
        <v>487</v>
      </c>
      <c r="C24" s="17" t="s">
        <v>471</v>
      </c>
      <c r="D24" s="2">
        <f>+F22</f>
        <v>120416.66666666667</v>
      </c>
      <c r="E24" s="23" t="s">
        <v>472</v>
      </c>
      <c r="F24" s="2">
        <f>+F22*5</f>
        <v>602083.33333333337</v>
      </c>
    </row>
    <row r="25" spans="2:6" ht="15.75" x14ac:dyDescent="0.25">
      <c r="B25" s="17"/>
      <c r="C25" s="17"/>
      <c r="D25" s="2"/>
      <c r="E25" s="17"/>
      <c r="F25" s="2"/>
    </row>
    <row r="26" spans="2:6" ht="15.75" x14ac:dyDescent="0.25">
      <c r="B26" s="206" t="s">
        <v>488</v>
      </c>
      <c r="C26" s="17" t="s">
        <v>474</v>
      </c>
      <c r="D26" s="2">
        <f>+F22</f>
        <v>120416.66666666667</v>
      </c>
      <c r="E26" s="23" t="s">
        <v>489</v>
      </c>
      <c r="F26" s="2">
        <f>+F19-F24</f>
        <v>842916.66666666663</v>
      </c>
    </row>
    <row r="27" spans="2:6" ht="15.75" x14ac:dyDescent="0.25">
      <c r="B27" s="1"/>
      <c r="C27" s="17"/>
      <c r="D27" s="2"/>
      <c r="E27" s="1"/>
      <c r="F27" s="1"/>
    </row>
    <row r="28" spans="2:6" ht="15.75" x14ac:dyDescent="0.25">
      <c r="B28" s="1"/>
      <c r="C28" s="17"/>
      <c r="D28" s="2"/>
      <c r="E28" s="1"/>
      <c r="F28" s="1"/>
    </row>
    <row r="29" spans="2:6" ht="15.75" x14ac:dyDescent="0.25">
      <c r="B29" s="1" t="s">
        <v>713</v>
      </c>
      <c r="C29" s="17"/>
      <c r="D29" s="2"/>
      <c r="E29" s="1"/>
      <c r="F29" s="2">
        <f>+F19/12</f>
        <v>120416.66666666667</v>
      </c>
    </row>
    <row r="30" spans="2:6" ht="15.75" x14ac:dyDescent="0.25">
      <c r="B30" s="1" t="s">
        <v>476</v>
      </c>
      <c r="C30" s="17"/>
      <c r="D30" s="2"/>
      <c r="E30" s="1"/>
      <c r="F30" s="2">
        <f>+F29</f>
        <v>120416.66666666667</v>
      </c>
    </row>
    <row r="31" spans="2:6" ht="15.75" x14ac:dyDescent="0.25">
      <c r="B31" s="1" t="s">
        <v>477</v>
      </c>
      <c r="C31" s="63"/>
      <c r="D31" s="63"/>
      <c r="E31" s="63"/>
      <c r="F31" s="2">
        <f>+F29</f>
        <v>120416.66666666667</v>
      </c>
    </row>
    <row r="32" spans="2:6" ht="15.75" x14ac:dyDescent="0.25">
      <c r="B32" s="1" t="s">
        <v>478</v>
      </c>
      <c r="C32" s="63"/>
      <c r="D32" s="63"/>
      <c r="E32" s="63"/>
      <c r="F32" s="2">
        <f t="shared" ref="F32:F38" si="0">+F31</f>
        <v>120416.66666666667</v>
      </c>
    </row>
    <row r="33" spans="2:6" ht="15.75" x14ac:dyDescent="0.25">
      <c r="B33" s="1" t="s">
        <v>479</v>
      </c>
      <c r="C33" s="3"/>
      <c r="D33" s="3"/>
      <c r="E33" s="3"/>
      <c r="F33" s="2">
        <f t="shared" si="0"/>
        <v>120416.66666666667</v>
      </c>
    </row>
    <row r="34" spans="2:6" ht="15.75" x14ac:dyDescent="0.25">
      <c r="B34" s="1" t="s">
        <v>480</v>
      </c>
      <c r="C34" s="3"/>
      <c r="D34" s="3"/>
      <c r="E34" s="3"/>
      <c r="F34" s="2">
        <f t="shared" si="0"/>
        <v>120416.66666666667</v>
      </c>
    </row>
    <row r="35" spans="2:6" ht="15.75" x14ac:dyDescent="0.25">
      <c r="B35" s="1" t="s">
        <v>463</v>
      </c>
      <c r="C35" s="3"/>
      <c r="D35" s="3"/>
      <c r="E35" s="3"/>
      <c r="F35" s="2">
        <f t="shared" si="0"/>
        <v>120416.66666666667</v>
      </c>
    </row>
    <row r="36" spans="2:6" ht="15.75" x14ac:dyDescent="0.25">
      <c r="B36" s="1" t="s">
        <v>481</v>
      </c>
      <c r="C36" s="63"/>
      <c r="D36" s="63"/>
      <c r="E36" s="63"/>
      <c r="F36" s="2">
        <f t="shared" si="0"/>
        <v>120416.66666666667</v>
      </c>
    </row>
    <row r="37" spans="2:6" ht="15.75" x14ac:dyDescent="0.25">
      <c r="B37" s="1" t="s">
        <v>482</v>
      </c>
      <c r="C37" s="63"/>
      <c r="D37" s="63"/>
      <c r="E37" s="63"/>
      <c r="F37" s="2">
        <f t="shared" si="0"/>
        <v>120416.66666666667</v>
      </c>
    </row>
    <row r="38" spans="2:6" ht="18" x14ac:dyDescent="0.4">
      <c r="B38" s="3" t="s">
        <v>483</v>
      </c>
      <c r="C38" s="63"/>
      <c r="D38" s="63"/>
      <c r="E38" s="63"/>
      <c r="F38" s="201">
        <f t="shared" si="0"/>
        <v>120416.66666666667</v>
      </c>
    </row>
    <row r="39" spans="2:6" ht="15.75" hidden="1" x14ac:dyDescent="0.25">
      <c r="B39" s="1" t="s">
        <v>484</v>
      </c>
      <c r="C39" s="63"/>
      <c r="D39" s="63"/>
      <c r="E39" s="63"/>
      <c r="F39" s="2"/>
    </row>
    <row r="40" spans="2:6" ht="15.75" hidden="1" x14ac:dyDescent="0.25">
      <c r="B40" s="63" t="s">
        <v>485</v>
      </c>
      <c r="C40" s="63"/>
      <c r="D40" s="63"/>
      <c r="E40" s="63"/>
      <c r="F40" s="2"/>
    </row>
    <row r="41" spans="2:6" ht="15.75" hidden="1" x14ac:dyDescent="0.25">
      <c r="B41" s="63" t="s">
        <v>623</v>
      </c>
      <c r="C41" s="1"/>
      <c r="D41" s="1"/>
      <c r="E41" s="1"/>
      <c r="F41" s="2"/>
    </row>
    <row r="42" spans="2:6" ht="15.75" x14ac:dyDescent="0.25">
      <c r="B42" s="131" t="s">
        <v>119</v>
      </c>
      <c r="C42" s="63"/>
      <c r="D42" s="63"/>
      <c r="E42" s="63"/>
      <c r="F42" s="61">
        <f>SUM(F29:F41)+0</f>
        <v>1204166.6666666667</v>
      </c>
    </row>
    <row r="43" spans="2:6" ht="15.75" x14ac:dyDescent="0.25">
      <c r="B43" s="63"/>
      <c r="C43" s="63"/>
      <c r="D43" s="63"/>
      <c r="E43" s="63"/>
      <c r="F43" s="51"/>
    </row>
    <row r="44" spans="2:6" ht="18" x14ac:dyDescent="0.4">
      <c r="B44" s="131" t="s">
        <v>449</v>
      </c>
      <c r="C44" s="131"/>
      <c r="D44" s="131"/>
      <c r="E44" s="131"/>
      <c r="F44" s="356">
        <f>+F16-F42</f>
        <v>240833.33333333326</v>
      </c>
    </row>
    <row r="45" spans="2:6" ht="15.75" x14ac:dyDescent="0.25">
      <c r="B45" s="63"/>
      <c r="C45" s="63"/>
      <c r="D45" s="63"/>
      <c r="E45" s="63"/>
      <c r="F45" s="51"/>
    </row>
    <row r="48" spans="2:6" x14ac:dyDescent="0.2">
      <c r="F48" s="152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FF52-5988-4C72-9C49-0BCD245B7714}">
  <dimension ref="B5:I50"/>
  <sheetViews>
    <sheetView topLeftCell="A26" workbookViewId="0">
      <selection activeCell="H33" sqref="H33"/>
    </sheetView>
  </sheetViews>
  <sheetFormatPr baseColWidth="10" defaultColWidth="11.42578125" defaultRowHeight="12.75" x14ac:dyDescent="0.2"/>
  <cols>
    <col min="1" max="1" width="2.5703125" style="127" customWidth="1"/>
    <col min="2" max="2" width="33" style="127" bestFit="1" customWidth="1"/>
    <col min="3" max="3" width="15.28515625" style="127" customWidth="1"/>
    <col min="4" max="4" width="14.7109375" style="127" customWidth="1"/>
    <col min="5" max="5" width="11.42578125" style="127"/>
    <col min="6" max="6" width="16" style="127" bestFit="1" customWidth="1"/>
    <col min="7" max="16384" width="11.42578125" style="127"/>
  </cols>
  <sheetData>
    <row r="5" spans="2:9" ht="18.75" x14ac:dyDescent="0.3">
      <c r="B5" s="621" t="s">
        <v>396</v>
      </c>
      <c r="C5" s="621"/>
      <c r="D5" s="621"/>
      <c r="E5" s="621"/>
      <c r="F5" s="621"/>
    </row>
    <row r="6" spans="2:9" ht="18.75" x14ac:dyDescent="0.3">
      <c r="B6" s="621" t="s">
        <v>268</v>
      </c>
      <c r="C6" s="621"/>
      <c r="D6" s="621"/>
      <c r="E6" s="621"/>
      <c r="F6" s="621"/>
    </row>
    <row r="7" spans="2:9" ht="15.75" x14ac:dyDescent="0.25">
      <c r="B7" s="625" t="s">
        <v>490</v>
      </c>
      <c r="C7" s="625"/>
      <c r="D7" s="625"/>
      <c r="E7" s="625"/>
      <c r="F7" s="625"/>
    </row>
    <row r="8" spans="2:9" ht="15.75" x14ac:dyDescent="0.25">
      <c r="B8" s="649">
        <v>45808</v>
      </c>
      <c r="C8" s="649"/>
      <c r="D8" s="649"/>
      <c r="E8" s="649"/>
      <c r="F8" s="649"/>
    </row>
    <row r="9" spans="2:9" ht="15.75" x14ac:dyDescent="0.25">
      <c r="B9" s="1"/>
      <c r="C9" s="1"/>
      <c r="D9" s="1"/>
      <c r="E9" s="1"/>
      <c r="F9" s="1"/>
    </row>
    <row r="10" spans="2:9" ht="15.75" x14ac:dyDescent="0.25">
      <c r="B10" s="618" t="s">
        <v>774</v>
      </c>
      <c r="C10" s="618"/>
      <c r="D10" s="618"/>
      <c r="E10" s="618"/>
      <c r="F10" s="618"/>
    </row>
    <row r="11" spans="2:9" ht="15.75" x14ac:dyDescent="0.25">
      <c r="B11" s="618" t="s">
        <v>775</v>
      </c>
      <c r="C11" s="618"/>
      <c r="D11" s="618"/>
      <c r="E11" s="618"/>
      <c r="F11" s="618"/>
    </row>
    <row r="12" spans="2:9" ht="15.75" x14ac:dyDescent="0.25">
      <c r="B12" s="625" t="s">
        <v>776</v>
      </c>
      <c r="C12" s="625"/>
      <c r="D12" s="625"/>
      <c r="E12" s="625"/>
      <c r="F12" s="625"/>
      <c r="I12" s="266"/>
    </row>
    <row r="13" spans="2:9" ht="16.5" thickBot="1" x14ac:dyDescent="0.3">
      <c r="B13" s="1"/>
      <c r="C13" s="1"/>
      <c r="D13" s="1"/>
      <c r="E13" s="1"/>
      <c r="F13" s="1"/>
      <c r="I13" s="265"/>
    </row>
    <row r="14" spans="2:9" ht="16.5" thickBot="1" x14ac:dyDescent="0.3">
      <c r="B14" s="184" t="s">
        <v>350</v>
      </c>
      <c r="C14" s="185" t="s">
        <v>456</v>
      </c>
      <c r="D14" s="185" t="s">
        <v>453</v>
      </c>
      <c r="E14" s="185"/>
      <c r="F14" s="186" t="s">
        <v>415</v>
      </c>
      <c r="I14" s="265"/>
    </row>
    <row r="15" spans="2:9" ht="18" x14ac:dyDescent="0.4">
      <c r="B15" s="205" t="s">
        <v>777</v>
      </c>
      <c r="C15" s="216" t="s">
        <v>779</v>
      </c>
      <c r="D15" s="189" t="s">
        <v>455</v>
      </c>
      <c r="E15" s="188"/>
      <c r="F15" s="190">
        <v>273814.42</v>
      </c>
    </row>
    <row r="16" spans="2:9" ht="18.75" thickBot="1" x14ac:dyDescent="0.45">
      <c r="B16" s="191" t="s">
        <v>343</v>
      </c>
      <c r="C16" s="192"/>
      <c r="D16" s="192"/>
      <c r="E16" s="192"/>
      <c r="F16" s="193">
        <f>SUM(F15:F15)</f>
        <v>273814.42</v>
      </c>
    </row>
    <row r="17" spans="2:6" ht="13.5" thickBot="1" x14ac:dyDescent="0.25"/>
    <row r="18" spans="2:6" ht="16.5" thickBot="1" x14ac:dyDescent="0.3">
      <c r="B18" s="184" t="s">
        <v>348</v>
      </c>
      <c r="C18" s="185" t="s">
        <v>456</v>
      </c>
      <c r="D18" s="185" t="s">
        <v>796</v>
      </c>
      <c r="E18" s="185" t="s">
        <v>457</v>
      </c>
      <c r="F18" s="186" t="s">
        <v>349</v>
      </c>
    </row>
    <row r="19" spans="2:6" ht="15.75" x14ac:dyDescent="0.25">
      <c r="B19" s="194" t="s">
        <v>778</v>
      </c>
      <c r="C19" s="217" t="s">
        <v>491</v>
      </c>
      <c r="D19" s="189">
        <v>40027</v>
      </c>
      <c r="E19" s="531" t="s">
        <v>795</v>
      </c>
      <c r="F19" s="196">
        <f>+F16</f>
        <v>273814.42</v>
      </c>
    </row>
    <row r="21" spans="2:6" ht="15.75" x14ac:dyDescent="0.25">
      <c r="B21" s="180" t="s">
        <v>431</v>
      </c>
      <c r="C21" s="180"/>
      <c r="D21" s="180"/>
      <c r="E21" s="180"/>
      <c r="F21" s="181">
        <f>+F19/12</f>
        <v>22817.868333333332</v>
      </c>
    </row>
    <row r="22" spans="2:6" ht="15.75" x14ac:dyDescent="0.25">
      <c r="B22" s="1"/>
      <c r="C22" s="1"/>
      <c r="D22" s="1"/>
      <c r="E22" s="1"/>
      <c r="F22" s="2"/>
    </row>
    <row r="23" spans="2:6" ht="15.75" x14ac:dyDescent="0.25">
      <c r="B23" s="206" t="s">
        <v>780</v>
      </c>
      <c r="C23" s="17" t="s">
        <v>781</v>
      </c>
      <c r="D23" s="2">
        <f>+F21</f>
        <v>22817.868333333332</v>
      </c>
      <c r="E23" s="23" t="s">
        <v>459</v>
      </c>
      <c r="F23" s="2">
        <f>+F21*10</f>
        <v>228178.68333333332</v>
      </c>
    </row>
    <row r="24" spans="2:6" ht="15.75" x14ac:dyDescent="0.25">
      <c r="B24" s="17"/>
      <c r="C24" s="17"/>
      <c r="D24" s="2"/>
      <c r="E24" s="17"/>
      <c r="F24" s="2"/>
    </row>
    <row r="25" spans="2:6" ht="15.75" x14ac:dyDescent="0.25">
      <c r="B25" s="206" t="s">
        <v>782</v>
      </c>
      <c r="C25" s="17" t="s">
        <v>460</v>
      </c>
      <c r="D25" s="2">
        <f>+F21</f>
        <v>22817.868333333332</v>
      </c>
      <c r="E25" s="23" t="s">
        <v>461</v>
      </c>
      <c r="F25" s="2">
        <f>+F19-F23</f>
        <v>45635.736666666664</v>
      </c>
    </row>
    <row r="26" spans="2:6" ht="15.75" x14ac:dyDescent="0.25">
      <c r="B26" s="1"/>
      <c r="C26" s="17"/>
      <c r="D26" s="2"/>
      <c r="E26" s="1"/>
      <c r="F26" s="1"/>
    </row>
    <row r="27" spans="2:6" ht="15.75" x14ac:dyDescent="0.25">
      <c r="B27" s="1"/>
      <c r="C27" s="17"/>
      <c r="D27" s="2"/>
      <c r="E27" s="1"/>
      <c r="F27" s="1"/>
    </row>
    <row r="28" spans="2:6" ht="15.75" x14ac:dyDescent="0.25">
      <c r="B28" s="1"/>
      <c r="C28" s="17"/>
      <c r="D28" s="2"/>
      <c r="E28" s="1"/>
      <c r="F28" s="1"/>
    </row>
    <row r="29" spans="2:6" ht="15.75" x14ac:dyDescent="0.25">
      <c r="C29" s="63"/>
      <c r="D29" s="63"/>
      <c r="E29" s="63"/>
      <c r="F29" s="2"/>
    </row>
    <row r="30" spans="2:6" ht="15.75" x14ac:dyDescent="0.25">
      <c r="B30" s="1" t="s">
        <v>783</v>
      </c>
      <c r="C30" s="3"/>
      <c r="D30" s="3"/>
      <c r="E30" s="3"/>
      <c r="F30" s="2">
        <f>+F21+0.01</f>
        <v>22817.87833333333</v>
      </c>
    </row>
    <row r="31" spans="2:6" ht="15.75" x14ac:dyDescent="0.25">
      <c r="B31" s="1" t="s">
        <v>784</v>
      </c>
      <c r="C31" s="3"/>
      <c r="D31" s="3"/>
      <c r="E31" s="3"/>
      <c r="F31" s="2">
        <v>22817.87833333333</v>
      </c>
    </row>
    <row r="32" spans="2:6" ht="18" x14ac:dyDescent="0.4">
      <c r="B32" s="3" t="s">
        <v>785</v>
      </c>
      <c r="C32" s="3"/>
      <c r="D32" s="3"/>
      <c r="E32" s="3"/>
      <c r="F32" s="201">
        <v>22817.87833333333</v>
      </c>
    </row>
    <row r="33" spans="2:6" ht="15.75" hidden="1" x14ac:dyDescent="0.25">
      <c r="B33" s="63" t="s">
        <v>786</v>
      </c>
      <c r="C33" s="3"/>
      <c r="D33" s="3"/>
      <c r="E33" s="3"/>
      <c r="F33" s="2"/>
    </row>
    <row r="34" spans="2:6" ht="15.75" hidden="1" x14ac:dyDescent="0.25">
      <c r="B34" s="63" t="s">
        <v>787</v>
      </c>
      <c r="C34" s="63"/>
      <c r="D34" s="63"/>
      <c r="E34" s="63"/>
      <c r="F34" s="2"/>
    </row>
    <row r="35" spans="2:6" ht="15.75" hidden="1" x14ac:dyDescent="0.25">
      <c r="B35" s="63" t="s">
        <v>788</v>
      </c>
      <c r="C35" s="63"/>
      <c r="D35" s="63"/>
      <c r="E35" s="63"/>
      <c r="F35" s="2"/>
    </row>
    <row r="36" spans="2:6" ht="15.75" hidden="1" x14ac:dyDescent="0.25">
      <c r="B36" s="63" t="s">
        <v>789</v>
      </c>
      <c r="C36" s="63"/>
      <c r="D36" s="63"/>
      <c r="E36" s="63"/>
      <c r="F36" s="2"/>
    </row>
    <row r="37" spans="2:6" ht="15.75" hidden="1" x14ac:dyDescent="0.25">
      <c r="B37" s="63" t="s">
        <v>790</v>
      </c>
      <c r="C37" s="63"/>
      <c r="D37" s="63"/>
      <c r="E37" s="63"/>
      <c r="F37" s="2"/>
    </row>
    <row r="38" spans="2:6" ht="15.75" hidden="1" x14ac:dyDescent="0.25">
      <c r="B38" s="63" t="s">
        <v>791</v>
      </c>
      <c r="C38" s="63"/>
      <c r="D38" s="63"/>
      <c r="E38" s="63"/>
      <c r="F38" s="2"/>
    </row>
    <row r="39" spans="2:6" ht="15.75" hidden="1" x14ac:dyDescent="0.25">
      <c r="B39" s="63" t="s">
        <v>792</v>
      </c>
      <c r="C39" s="1"/>
      <c r="D39" s="1"/>
      <c r="E39" s="1"/>
      <c r="F39" s="2"/>
    </row>
    <row r="40" spans="2:6" ht="15.75" hidden="1" x14ac:dyDescent="0.25">
      <c r="B40" s="1" t="s">
        <v>793</v>
      </c>
      <c r="C40" s="63"/>
      <c r="D40" s="63"/>
      <c r="E40" s="63"/>
      <c r="F40" s="2"/>
    </row>
    <row r="41" spans="2:6" ht="18" hidden="1" x14ac:dyDescent="0.4">
      <c r="B41" s="1" t="s">
        <v>794</v>
      </c>
      <c r="C41" s="63"/>
      <c r="D41" s="63"/>
      <c r="E41" s="63"/>
      <c r="F41" s="96"/>
    </row>
    <row r="42" spans="2:6" ht="24" customHeight="1" x14ac:dyDescent="0.25">
      <c r="B42" s="131" t="s">
        <v>119</v>
      </c>
      <c r="C42" s="63"/>
      <c r="D42" s="63"/>
      <c r="E42" s="63"/>
      <c r="F42" s="61">
        <f>SUM(F29:F41)-0</f>
        <v>68453.634999999995</v>
      </c>
    </row>
    <row r="43" spans="2:6" ht="29.25" customHeight="1" thickBot="1" x14ac:dyDescent="0.35">
      <c r="B43" s="44" t="s">
        <v>492</v>
      </c>
      <c r="F43" s="218">
        <f>+F16-F42</f>
        <v>205360.78499999997</v>
      </c>
    </row>
    <row r="44" spans="2:6" ht="13.5" thickTop="1" x14ac:dyDescent="0.2"/>
    <row r="47" spans="2:6" x14ac:dyDescent="0.2">
      <c r="F47" s="152"/>
    </row>
    <row r="48" spans="2:6" x14ac:dyDescent="0.2">
      <c r="F48" s="152"/>
    </row>
    <row r="49" spans="6:6" x14ac:dyDescent="0.2">
      <c r="F49" s="152"/>
    </row>
    <row r="50" spans="6:6" x14ac:dyDescent="0.2">
      <c r="F50" s="152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O13"/>
  <sheetViews>
    <sheetView workbookViewId="0">
      <selection activeCell="H33" sqref="H33"/>
    </sheetView>
  </sheetViews>
  <sheetFormatPr baseColWidth="10" defaultColWidth="11.5703125" defaultRowHeight="24.75" customHeight="1" x14ac:dyDescent="0.25"/>
  <cols>
    <col min="1" max="1" width="42.5703125" style="1" customWidth="1"/>
    <col min="2" max="2" width="21.7109375" style="1" customWidth="1"/>
    <col min="3" max="4" width="11.5703125" style="1"/>
    <col min="5" max="5" width="19.140625" style="1" customWidth="1"/>
    <col min="6" max="14" width="11.5703125" style="1"/>
    <col min="15" max="15" width="16.85546875" style="1" bestFit="1" customWidth="1"/>
    <col min="16" max="16384" width="11.5703125" style="1"/>
  </cols>
  <sheetData>
    <row r="3" spans="1:15" ht="24.75" customHeight="1" x14ac:dyDescent="0.25">
      <c r="A3" s="625" t="s">
        <v>493</v>
      </c>
      <c r="B3" s="625"/>
    </row>
    <row r="4" spans="1:15" ht="24.75" customHeight="1" x14ac:dyDescent="0.25">
      <c r="A4" s="625" t="s">
        <v>268</v>
      </c>
      <c r="B4" s="625"/>
    </row>
    <row r="5" spans="1:15" ht="24.75" customHeight="1" x14ac:dyDescent="0.25">
      <c r="A5" s="625" t="s">
        <v>494</v>
      </c>
      <c r="B5" s="625"/>
    </row>
    <row r="6" spans="1:15" ht="24.75" customHeight="1" x14ac:dyDescent="0.25">
      <c r="A6" s="635">
        <v>45808</v>
      </c>
      <c r="B6" s="635"/>
    </row>
    <row r="7" spans="1:15" ht="24.75" customHeight="1" thickBot="1" x14ac:dyDescent="0.3">
      <c r="A7" s="65"/>
      <c r="B7" s="65"/>
    </row>
    <row r="8" spans="1:15" ht="24.75" customHeight="1" thickBot="1" x14ac:dyDescent="0.3">
      <c r="A8" s="68" t="s">
        <v>495</v>
      </c>
      <c r="B8" s="70" t="s">
        <v>271</v>
      </c>
    </row>
    <row r="9" spans="1:15" ht="24.75" customHeight="1" x14ac:dyDescent="0.25">
      <c r="A9" s="71" t="s">
        <v>496</v>
      </c>
      <c r="B9" s="75">
        <v>0</v>
      </c>
    </row>
    <row r="10" spans="1:15" ht="24.75" customHeight="1" x14ac:dyDescent="0.25">
      <c r="A10" s="73" t="s">
        <v>755</v>
      </c>
      <c r="B10" s="75">
        <v>0</v>
      </c>
    </row>
    <row r="11" spans="1:15" ht="24.75" customHeight="1" x14ac:dyDescent="0.4">
      <c r="A11" s="73" t="s">
        <v>497</v>
      </c>
      <c r="B11" s="77">
        <v>0</v>
      </c>
      <c r="O11" s="2"/>
    </row>
    <row r="12" spans="1:15" ht="24.75" customHeight="1" x14ac:dyDescent="0.4">
      <c r="A12" s="73"/>
      <c r="B12" s="80">
        <f>SUM(B9:B11)</f>
        <v>0</v>
      </c>
    </row>
    <row r="13" spans="1:15" ht="24.75" customHeight="1" thickBot="1" x14ac:dyDescent="0.3">
      <c r="A13" s="81"/>
      <c r="B13" s="83"/>
    </row>
  </sheetData>
  <mergeCells count="4">
    <mergeCell ref="A4:B4"/>
    <mergeCell ref="A3:B3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765-175B-49EE-B8AA-77A40EDFAE4C}">
  <sheetPr>
    <pageSetUpPr fitToPage="1"/>
  </sheetPr>
  <dimension ref="B8:I66"/>
  <sheetViews>
    <sheetView topLeftCell="A10" zoomScaleNormal="100" workbookViewId="0">
      <selection activeCell="H33" sqref="H33"/>
    </sheetView>
  </sheetViews>
  <sheetFormatPr baseColWidth="10" defaultColWidth="11.42578125" defaultRowHeight="12.75" x14ac:dyDescent="0.2"/>
  <cols>
    <col min="1" max="1" width="11.42578125" style="127"/>
    <col min="2" max="2" width="42.140625" style="127" customWidth="1"/>
    <col min="3" max="3" width="24.42578125" style="127" bestFit="1" customWidth="1"/>
    <col min="4" max="4" width="11.42578125" style="127"/>
    <col min="5" max="5" width="10.85546875" style="127" customWidth="1"/>
    <col min="6" max="6" width="16" style="127" customWidth="1"/>
    <col min="7" max="7" width="14.42578125" style="127" customWidth="1"/>
    <col min="8" max="8" width="21.140625" style="127" bestFit="1" customWidth="1"/>
    <col min="9" max="16384" width="11.42578125" style="127"/>
  </cols>
  <sheetData>
    <row r="8" spans="2:9" ht="20.25" customHeight="1" x14ac:dyDescent="0.25">
      <c r="B8" s="625" t="s">
        <v>498</v>
      </c>
      <c r="C8" s="625"/>
    </row>
    <row r="9" spans="2:9" ht="20.25" customHeight="1" x14ac:dyDescent="0.25">
      <c r="B9" s="625" t="s">
        <v>268</v>
      </c>
      <c r="C9" s="625"/>
    </row>
    <row r="10" spans="2:9" ht="20.25" customHeight="1" x14ac:dyDescent="0.25">
      <c r="B10" s="625" t="s">
        <v>499</v>
      </c>
      <c r="C10" s="625"/>
    </row>
    <row r="11" spans="2:9" ht="20.25" customHeight="1" x14ac:dyDescent="0.25">
      <c r="B11" s="635">
        <v>45808</v>
      </c>
      <c r="C11" s="635"/>
      <c r="F11" s="656" t="s">
        <v>500</v>
      </c>
      <c r="G11" s="656"/>
      <c r="H11" s="656"/>
      <c r="I11" s="358"/>
    </row>
    <row r="12" spans="2:9" ht="16.5" thickBot="1" x14ac:dyDescent="0.3">
      <c r="B12" s="1"/>
      <c r="C12" s="1"/>
    </row>
    <row r="13" spans="2:9" ht="29.25" customHeight="1" thickBot="1" x14ac:dyDescent="0.3">
      <c r="B13" s="68" t="s">
        <v>254</v>
      </c>
      <c r="C13" s="70" t="s">
        <v>271</v>
      </c>
      <c r="E13" s="359"/>
      <c r="F13" s="375" t="s">
        <v>501</v>
      </c>
      <c r="G13" s="376" t="s">
        <v>346</v>
      </c>
      <c r="H13" s="377" t="s">
        <v>502</v>
      </c>
    </row>
    <row r="14" spans="2:9" ht="24.75" customHeight="1" x14ac:dyDescent="0.25">
      <c r="B14" s="57" t="s">
        <v>109</v>
      </c>
      <c r="C14" s="111">
        <f>+H19+H34</f>
        <v>431156800</v>
      </c>
      <c r="F14" s="654" t="s">
        <v>503</v>
      </c>
      <c r="G14" s="655"/>
      <c r="H14" s="374"/>
    </row>
    <row r="15" spans="2:9" ht="27" customHeight="1" x14ac:dyDescent="0.25">
      <c r="B15" s="57" t="s">
        <v>110</v>
      </c>
      <c r="C15" s="111">
        <f>+H41</f>
        <v>396750000</v>
      </c>
      <c r="F15" s="360">
        <v>39310</v>
      </c>
      <c r="G15" s="361">
        <v>45183</v>
      </c>
      <c r="H15" s="362">
        <v>70000000</v>
      </c>
    </row>
    <row r="16" spans="2:9" ht="29.25" customHeight="1" x14ac:dyDescent="0.25">
      <c r="B16" s="57" t="s">
        <v>111</v>
      </c>
      <c r="C16" s="111">
        <f>+H53</f>
        <v>1166750000</v>
      </c>
      <c r="F16" s="363">
        <v>39363</v>
      </c>
      <c r="G16" s="364">
        <v>45216</v>
      </c>
      <c r="H16" s="365">
        <v>20000000</v>
      </c>
    </row>
    <row r="17" spans="2:8" ht="23.25" customHeight="1" x14ac:dyDescent="0.25">
      <c r="B17" s="57" t="s">
        <v>265</v>
      </c>
      <c r="C17" s="111">
        <f>+H56</f>
        <v>100000000</v>
      </c>
      <c r="F17" s="363">
        <v>39410</v>
      </c>
      <c r="G17" s="364">
        <v>45239</v>
      </c>
      <c r="H17" s="365">
        <v>40000000</v>
      </c>
    </row>
    <row r="18" spans="2:8" ht="23.25" customHeight="1" x14ac:dyDescent="0.4">
      <c r="B18" s="57" t="s">
        <v>886</v>
      </c>
      <c r="C18" s="232">
        <v>84100000</v>
      </c>
      <c r="F18" s="363">
        <v>39476</v>
      </c>
      <c r="G18" s="364">
        <v>45278</v>
      </c>
      <c r="H18" s="366">
        <v>21156800</v>
      </c>
    </row>
    <row r="19" spans="2:8" ht="18" x14ac:dyDescent="0.4">
      <c r="B19" s="233" t="s">
        <v>504</v>
      </c>
      <c r="C19" s="88">
        <f>SUM(C14:C18)</f>
        <v>2178756800</v>
      </c>
      <c r="F19" s="363"/>
      <c r="G19" s="363"/>
      <c r="H19" s="367">
        <v>151156800</v>
      </c>
    </row>
    <row r="20" spans="2:8" ht="15.75" x14ac:dyDescent="0.25">
      <c r="B20" s="113"/>
      <c r="C20" s="113"/>
      <c r="F20" s="363"/>
      <c r="G20" s="363"/>
      <c r="H20" s="369"/>
    </row>
    <row r="21" spans="2:8" ht="15" x14ac:dyDescent="0.25">
      <c r="B21" s="483" t="s">
        <v>740</v>
      </c>
      <c r="F21" s="363">
        <v>39477</v>
      </c>
      <c r="G21" s="364">
        <v>45279</v>
      </c>
      <c r="H21" s="365">
        <v>40000000</v>
      </c>
    </row>
    <row r="22" spans="2:8" ht="15" x14ac:dyDescent="0.25">
      <c r="C22" s="152"/>
      <c r="F22" s="363">
        <v>39515</v>
      </c>
      <c r="G22" s="364">
        <v>45303</v>
      </c>
      <c r="H22" s="365">
        <v>20000000</v>
      </c>
    </row>
    <row r="23" spans="2:8" ht="15" x14ac:dyDescent="0.25">
      <c r="C23" s="152"/>
      <c r="F23" s="363">
        <v>39567</v>
      </c>
      <c r="G23" s="364">
        <v>45335</v>
      </c>
      <c r="H23" s="365">
        <v>20000000</v>
      </c>
    </row>
    <row r="24" spans="2:8" ht="15" x14ac:dyDescent="0.25">
      <c r="C24" s="152"/>
      <c r="F24" s="363">
        <v>39616</v>
      </c>
      <c r="G24" s="364">
        <v>45365</v>
      </c>
      <c r="H24" s="365">
        <v>20000000</v>
      </c>
    </row>
    <row r="25" spans="2:8" ht="15" x14ac:dyDescent="0.25">
      <c r="C25" s="152"/>
      <c r="F25" s="363">
        <v>39651</v>
      </c>
      <c r="G25" s="364">
        <v>45386</v>
      </c>
      <c r="H25" s="365">
        <v>20000000</v>
      </c>
    </row>
    <row r="26" spans="2:8" ht="15" x14ac:dyDescent="0.25">
      <c r="F26" s="363">
        <v>39713</v>
      </c>
      <c r="G26" s="364">
        <v>45422</v>
      </c>
      <c r="H26" s="365">
        <v>20000000</v>
      </c>
    </row>
    <row r="27" spans="2:8" ht="15" x14ac:dyDescent="0.25">
      <c r="F27" s="363">
        <v>39749</v>
      </c>
      <c r="G27" s="364">
        <v>45460</v>
      </c>
      <c r="H27" s="365">
        <v>20000000</v>
      </c>
    </row>
    <row r="28" spans="2:8" ht="15" x14ac:dyDescent="0.25">
      <c r="F28" s="363">
        <v>39848</v>
      </c>
      <c r="G28" s="364">
        <v>45561</v>
      </c>
      <c r="H28" s="365">
        <v>24000000</v>
      </c>
    </row>
    <row r="29" spans="2:8" ht="15" x14ac:dyDescent="0.25">
      <c r="F29" s="363">
        <v>39885</v>
      </c>
      <c r="G29" s="364">
        <v>45576</v>
      </c>
      <c r="H29" s="365">
        <v>8000000</v>
      </c>
    </row>
    <row r="30" spans="2:8" ht="15" x14ac:dyDescent="0.25">
      <c r="F30" s="363">
        <v>39926</v>
      </c>
      <c r="G30" s="364">
        <v>45608</v>
      </c>
      <c r="H30" s="365">
        <v>8000000</v>
      </c>
    </row>
    <row r="31" spans="2:8" ht="15" x14ac:dyDescent="0.25">
      <c r="F31" s="363">
        <v>39936</v>
      </c>
      <c r="G31" s="364">
        <v>45623</v>
      </c>
      <c r="H31" s="365">
        <v>12000000</v>
      </c>
    </row>
    <row r="32" spans="2:8" ht="15" x14ac:dyDescent="0.25">
      <c r="F32" s="363">
        <v>39941</v>
      </c>
      <c r="G32" s="364">
        <v>45623</v>
      </c>
      <c r="H32" s="365">
        <v>20000000</v>
      </c>
    </row>
    <row r="33" spans="6:8" ht="15" x14ac:dyDescent="0.25">
      <c r="F33" s="363" t="s">
        <v>869</v>
      </c>
      <c r="G33" s="364">
        <v>45757</v>
      </c>
      <c r="H33" s="366">
        <v>48000000</v>
      </c>
    </row>
    <row r="34" spans="6:8" ht="15" x14ac:dyDescent="0.25">
      <c r="F34" s="363"/>
      <c r="G34" s="364"/>
      <c r="H34" s="370">
        <f>SUM(H21:H33)</f>
        <v>280000000</v>
      </c>
    </row>
    <row r="35" spans="6:8" ht="15" x14ac:dyDescent="0.25">
      <c r="F35" s="371"/>
      <c r="G35" s="372"/>
      <c r="H35" s="370"/>
    </row>
    <row r="36" spans="6:8" ht="15" x14ac:dyDescent="0.25">
      <c r="F36" s="652" t="s">
        <v>505</v>
      </c>
      <c r="G36" s="653"/>
      <c r="H36" s="370">
        <f>+H19+H34</f>
        <v>431156800</v>
      </c>
    </row>
    <row r="37" spans="6:8" ht="15" x14ac:dyDescent="0.25">
      <c r="F37" s="371"/>
      <c r="G37" s="372"/>
      <c r="H37" s="370"/>
    </row>
    <row r="38" spans="6:8" ht="15" x14ac:dyDescent="0.25">
      <c r="F38" s="652" t="s">
        <v>110</v>
      </c>
      <c r="G38" s="653"/>
      <c r="H38" s="366"/>
    </row>
    <row r="39" spans="6:8" ht="15" x14ac:dyDescent="0.25">
      <c r="F39" s="363" t="s">
        <v>506</v>
      </c>
      <c r="G39" s="364">
        <v>45426</v>
      </c>
      <c r="H39" s="373">
        <v>296750000</v>
      </c>
    </row>
    <row r="40" spans="6:8" ht="15" x14ac:dyDescent="0.25">
      <c r="F40" s="363" t="s">
        <v>871</v>
      </c>
      <c r="G40" s="364">
        <v>45777</v>
      </c>
      <c r="H40" s="370">
        <v>100000000</v>
      </c>
    </row>
    <row r="41" spans="6:8" ht="15" x14ac:dyDescent="0.25">
      <c r="F41" s="652" t="s">
        <v>872</v>
      </c>
      <c r="G41" s="653"/>
      <c r="H41" s="370">
        <f>SUM(H39:H40)</f>
        <v>396750000</v>
      </c>
    </row>
    <row r="42" spans="6:8" ht="15" x14ac:dyDescent="0.25">
      <c r="F42" s="363"/>
      <c r="G42" s="363"/>
      <c r="H42" s="370"/>
    </row>
    <row r="43" spans="6:8" ht="15" x14ac:dyDescent="0.25">
      <c r="F43" s="652" t="s">
        <v>111</v>
      </c>
      <c r="G43" s="653"/>
      <c r="H43" s="366"/>
    </row>
    <row r="44" spans="6:8" ht="15" x14ac:dyDescent="0.25">
      <c r="F44" s="363" t="s">
        <v>507</v>
      </c>
      <c r="G44" s="364">
        <v>45426</v>
      </c>
      <c r="H44" s="373">
        <v>296750000</v>
      </c>
    </row>
    <row r="45" spans="6:8" ht="15" x14ac:dyDescent="0.25">
      <c r="F45" s="363">
        <v>39804</v>
      </c>
      <c r="G45" s="364">
        <v>45490</v>
      </c>
      <c r="H45" s="373">
        <v>110000000</v>
      </c>
    </row>
    <row r="46" spans="6:8" ht="15" x14ac:dyDescent="0.25">
      <c r="F46" s="363">
        <v>39831</v>
      </c>
      <c r="G46" s="364">
        <v>45512</v>
      </c>
      <c r="H46" s="373">
        <v>110000000</v>
      </c>
    </row>
    <row r="47" spans="6:8" ht="15" x14ac:dyDescent="0.25">
      <c r="F47" s="363">
        <v>39831</v>
      </c>
      <c r="G47" s="364">
        <v>45516</v>
      </c>
      <c r="H47" s="373">
        <v>110000000</v>
      </c>
    </row>
    <row r="48" spans="6:8" ht="15" x14ac:dyDescent="0.25">
      <c r="F48" s="385">
        <v>39851</v>
      </c>
      <c r="G48" s="372">
        <v>45545</v>
      </c>
      <c r="H48" s="373">
        <v>110000000</v>
      </c>
    </row>
    <row r="49" spans="6:8" ht="15" x14ac:dyDescent="0.25">
      <c r="F49" s="363">
        <v>39889</v>
      </c>
      <c r="G49" s="364">
        <v>45576</v>
      </c>
      <c r="H49" s="373">
        <v>110000000</v>
      </c>
    </row>
    <row r="50" spans="6:8" ht="15" x14ac:dyDescent="0.25">
      <c r="F50" s="385">
        <v>39922</v>
      </c>
      <c r="G50" s="372">
        <v>45614</v>
      </c>
      <c r="H50" s="373">
        <v>110000000</v>
      </c>
    </row>
    <row r="51" spans="6:8" ht="15" x14ac:dyDescent="0.25">
      <c r="F51" s="385">
        <v>39945</v>
      </c>
      <c r="G51" s="372">
        <v>45630</v>
      </c>
      <c r="H51" s="373">
        <v>110000000</v>
      </c>
    </row>
    <row r="52" spans="6:8" ht="15" x14ac:dyDescent="0.25">
      <c r="F52" s="385">
        <v>40068</v>
      </c>
      <c r="G52" s="372">
        <v>45791</v>
      </c>
      <c r="H52" s="370">
        <v>100000000</v>
      </c>
    </row>
    <row r="53" spans="6:8" ht="15" x14ac:dyDescent="0.25">
      <c r="F53" s="652" t="s">
        <v>508</v>
      </c>
      <c r="G53" s="653"/>
      <c r="H53" s="370">
        <f>SUM(H44:H52)</f>
        <v>1166750000</v>
      </c>
    </row>
    <row r="54" spans="6:8" ht="15" x14ac:dyDescent="0.25">
      <c r="F54" s="569"/>
      <c r="G54" s="570"/>
      <c r="H54" s="370"/>
    </row>
    <row r="55" spans="6:8" ht="15" x14ac:dyDescent="0.25">
      <c r="F55" s="652" t="s">
        <v>265</v>
      </c>
      <c r="G55" s="653"/>
      <c r="H55" s="366"/>
    </row>
    <row r="56" spans="6:8" ht="15" x14ac:dyDescent="0.25">
      <c r="F56" s="363" t="s">
        <v>870</v>
      </c>
      <c r="G56" s="364">
        <v>45777</v>
      </c>
      <c r="H56" s="370">
        <v>100000000</v>
      </c>
    </row>
    <row r="57" spans="6:8" ht="15" x14ac:dyDescent="0.25">
      <c r="F57" s="371"/>
      <c r="G57" s="372"/>
      <c r="H57" s="370"/>
    </row>
    <row r="58" spans="6:8" ht="15" x14ac:dyDescent="0.25">
      <c r="F58" s="652" t="s">
        <v>886</v>
      </c>
      <c r="G58" s="653"/>
      <c r="H58" s="366"/>
    </row>
    <row r="59" spans="6:8" ht="15" x14ac:dyDescent="0.25">
      <c r="F59" s="579" t="s">
        <v>887</v>
      </c>
      <c r="G59" s="580">
        <v>45786</v>
      </c>
      <c r="H59" s="370">
        <v>84100000</v>
      </c>
    </row>
    <row r="60" spans="6:8" ht="15" x14ac:dyDescent="0.25">
      <c r="F60" s="569"/>
      <c r="G60" s="570"/>
      <c r="H60" s="370"/>
    </row>
    <row r="61" spans="6:8" ht="15" x14ac:dyDescent="0.25">
      <c r="F61" s="369"/>
      <c r="G61" s="363"/>
      <c r="H61" s="369"/>
    </row>
    <row r="62" spans="6:8" ht="21.75" customHeight="1" x14ac:dyDescent="0.25">
      <c r="F62" s="378" t="s">
        <v>509</v>
      </c>
      <c r="G62" s="378"/>
      <c r="H62" s="414">
        <f>+H56+H53+H41+H36+H59</f>
        <v>2178756800</v>
      </c>
    </row>
    <row r="64" spans="6:8" x14ac:dyDescent="0.2">
      <c r="H64" s="368"/>
    </row>
    <row r="65" spans="8:8" x14ac:dyDescent="0.2">
      <c r="H65" s="368"/>
    </row>
    <row r="66" spans="8:8" x14ac:dyDescent="0.2">
      <c r="H66" s="368"/>
    </row>
  </sheetData>
  <mergeCells count="13">
    <mergeCell ref="F58:G58"/>
    <mergeCell ref="F55:G55"/>
    <mergeCell ref="F41:G41"/>
    <mergeCell ref="F53:G53"/>
    <mergeCell ref="F38:G38"/>
    <mergeCell ref="F43:G43"/>
    <mergeCell ref="F36:G36"/>
    <mergeCell ref="F14:G14"/>
    <mergeCell ref="B8:C8"/>
    <mergeCell ref="B10:C10"/>
    <mergeCell ref="B11:C11"/>
    <mergeCell ref="B9:C9"/>
    <mergeCell ref="F11:H11"/>
  </mergeCells>
  <pageMargins left="0.31496062992125984" right="0.31496062992125984" top="0.74803149606299213" bottom="0.74803149606299213" header="0.31496062992125984" footer="0.31496062992125984"/>
  <pageSetup scale="9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4D21-3DBC-44D8-BAA4-C261AEC889CD}">
  <dimension ref="A1:F51"/>
  <sheetViews>
    <sheetView topLeftCell="A6" workbookViewId="0">
      <selection activeCell="H33" sqref="H33"/>
    </sheetView>
  </sheetViews>
  <sheetFormatPr baseColWidth="10" defaultColWidth="11.42578125" defaultRowHeight="12.75" x14ac:dyDescent="0.2"/>
  <cols>
    <col min="4" max="4" width="16.140625" bestFit="1" customWidth="1"/>
    <col min="5" max="5" width="15.28515625" customWidth="1"/>
  </cols>
  <sheetData>
    <row r="1" spans="1:6" ht="15.75" x14ac:dyDescent="0.25">
      <c r="A1" s="348" t="s">
        <v>510</v>
      </c>
      <c r="B1" s="348"/>
      <c r="C1" s="343"/>
      <c r="E1" s="343" t="s">
        <v>511</v>
      </c>
      <c r="F1" s="344"/>
    </row>
    <row r="3" spans="1:6" ht="15" x14ac:dyDescent="0.25">
      <c r="A3" s="343" t="s">
        <v>512</v>
      </c>
      <c r="B3" s="343"/>
      <c r="C3" s="345">
        <v>45200</v>
      </c>
      <c r="D3" s="343" t="s">
        <v>513</v>
      </c>
      <c r="E3" s="345">
        <v>45488</v>
      </c>
    </row>
    <row r="4" spans="1:6" ht="15" x14ac:dyDescent="0.25">
      <c r="A4" s="343" t="s">
        <v>296</v>
      </c>
      <c r="B4" s="343"/>
      <c r="C4" s="343">
        <v>0</v>
      </c>
      <c r="D4" s="343" t="s">
        <v>514</v>
      </c>
      <c r="E4" s="343">
        <v>0</v>
      </c>
    </row>
    <row r="5" spans="1:6" ht="15" x14ac:dyDescent="0.25">
      <c r="A5" s="355" t="s">
        <v>515</v>
      </c>
      <c r="B5" s="343"/>
      <c r="C5" s="343"/>
      <c r="D5" s="343"/>
      <c r="E5" s="343"/>
    </row>
    <row r="7" spans="1:6" ht="15" x14ac:dyDescent="0.25">
      <c r="A7" s="357" t="s">
        <v>516</v>
      </c>
      <c r="B7" s="357" t="s">
        <v>346</v>
      </c>
      <c r="C7" s="357" t="s">
        <v>517</v>
      </c>
      <c r="D7" s="357" t="s">
        <v>518</v>
      </c>
      <c r="E7" s="357" t="s">
        <v>519</v>
      </c>
    </row>
    <row r="8" spans="1:6" ht="15" x14ac:dyDescent="0.25">
      <c r="A8" s="343" t="s">
        <v>520</v>
      </c>
      <c r="B8" s="345">
        <v>45183</v>
      </c>
      <c r="C8" s="343">
        <v>39310</v>
      </c>
      <c r="D8" s="343">
        <v>0</v>
      </c>
      <c r="E8" s="346">
        <v>70000000</v>
      </c>
    </row>
    <row r="9" spans="1:6" ht="15" x14ac:dyDescent="0.25">
      <c r="A9" s="343" t="s">
        <v>520</v>
      </c>
      <c r="B9" s="345">
        <v>45216</v>
      </c>
      <c r="C9" s="343">
        <v>39363</v>
      </c>
      <c r="D9" s="343">
        <v>0</v>
      </c>
      <c r="E9" s="346">
        <v>20000000</v>
      </c>
    </row>
    <row r="10" spans="1:6" ht="15" x14ac:dyDescent="0.25">
      <c r="A10" s="343" t="s">
        <v>520</v>
      </c>
      <c r="B10" s="345">
        <v>45239</v>
      </c>
      <c r="C10" s="343">
        <v>39410</v>
      </c>
      <c r="D10" s="343">
        <v>0</v>
      </c>
      <c r="E10" s="346">
        <v>40000000</v>
      </c>
    </row>
    <row r="11" spans="1:6" ht="15" x14ac:dyDescent="0.25">
      <c r="A11" s="343" t="s">
        <v>520</v>
      </c>
      <c r="B11" s="345">
        <v>45278</v>
      </c>
      <c r="C11" s="343">
        <v>39476</v>
      </c>
      <c r="D11" s="343">
        <v>0</v>
      </c>
      <c r="E11" s="346">
        <v>21156800</v>
      </c>
    </row>
    <row r="12" spans="1:6" ht="15" x14ac:dyDescent="0.25">
      <c r="A12" s="343" t="s">
        <v>520</v>
      </c>
      <c r="B12" s="345">
        <v>45279</v>
      </c>
      <c r="C12" s="343">
        <v>39477</v>
      </c>
      <c r="D12" s="343">
        <v>0</v>
      </c>
      <c r="E12" s="346">
        <v>40000000</v>
      </c>
    </row>
    <row r="13" spans="1:6" ht="15" x14ac:dyDescent="0.25">
      <c r="A13" s="343" t="s">
        <v>520</v>
      </c>
      <c r="B13" s="345">
        <v>45303</v>
      </c>
      <c r="C13" s="343">
        <v>39515</v>
      </c>
      <c r="D13" s="343">
        <v>0</v>
      </c>
      <c r="E13" s="346">
        <v>20000000</v>
      </c>
    </row>
    <row r="14" spans="1:6" ht="15" x14ac:dyDescent="0.25">
      <c r="A14" s="343" t="s">
        <v>520</v>
      </c>
      <c r="B14" s="345">
        <v>45335</v>
      </c>
      <c r="C14" s="343">
        <v>39567</v>
      </c>
      <c r="D14" s="343">
        <v>0</v>
      </c>
      <c r="E14" s="346">
        <v>20000000</v>
      </c>
    </row>
    <row r="15" spans="1:6" ht="15" x14ac:dyDescent="0.25">
      <c r="A15" s="343" t="s">
        <v>520</v>
      </c>
      <c r="B15" s="345">
        <v>45365</v>
      </c>
      <c r="C15" s="343">
        <v>39616</v>
      </c>
      <c r="D15" s="343">
        <v>0</v>
      </c>
      <c r="E15" s="346">
        <v>20000000</v>
      </c>
    </row>
    <row r="16" spans="1:6" ht="15" x14ac:dyDescent="0.25">
      <c r="A16" s="343" t="s">
        <v>520</v>
      </c>
      <c r="B16" s="345">
        <v>45386</v>
      </c>
      <c r="C16" s="343">
        <v>39651</v>
      </c>
      <c r="D16" s="343">
        <v>0</v>
      </c>
      <c r="E16" s="346">
        <v>20000000</v>
      </c>
    </row>
    <row r="17" spans="1:5" ht="15" x14ac:dyDescent="0.25">
      <c r="A17" s="343" t="s">
        <v>520</v>
      </c>
      <c r="B17" s="345">
        <v>45422</v>
      </c>
      <c r="C17" s="343">
        <v>39713</v>
      </c>
      <c r="D17" s="343">
        <v>0</v>
      </c>
      <c r="E17" s="346">
        <v>20000000</v>
      </c>
    </row>
    <row r="18" spans="1:5" ht="15" x14ac:dyDescent="0.25">
      <c r="A18" s="343" t="s">
        <v>520</v>
      </c>
      <c r="B18" s="345">
        <v>45460</v>
      </c>
      <c r="C18" s="343">
        <v>39749</v>
      </c>
      <c r="D18" s="343">
        <v>0</v>
      </c>
      <c r="E18" s="346">
        <v>20000000</v>
      </c>
    </row>
    <row r="19" spans="1:5" ht="15" x14ac:dyDescent="0.25">
      <c r="A19" s="421" t="s">
        <v>520</v>
      </c>
      <c r="B19" s="345">
        <v>45540</v>
      </c>
      <c r="C19" s="343">
        <v>39848</v>
      </c>
      <c r="D19" s="343">
        <v>0</v>
      </c>
      <c r="E19" s="346">
        <v>24000000</v>
      </c>
    </row>
    <row r="20" spans="1:5" ht="15" x14ac:dyDescent="0.25">
      <c r="A20" s="421" t="s">
        <v>520</v>
      </c>
      <c r="B20" s="345">
        <v>45576</v>
      </c>
      <c r="C20" s="343">
        <v>39885</v>
      </c>
      <c r="D20" s="343">
        <v>0</v>
      </c>
      <c r="E20" s="346">
        <v>8000000</v>
      </c>
    </row>
    <row r="21" spans="1:5" ht="15" x14ac:dyDescent="0.25">
      <c r="A21" s="343" t="s">
        <v>520</v>
      </c>
      <c r="B21" s="345">
        <v>45608</v>
      </c>
      <c r="C21" s="343">
        <v>39926</v>
      </c>
      <c r="D21" s="343">
        <v>0</v>
      </c>
      <c r="E21" s="346">
        <v>8000000</v>
      </c>
    </row>
    <row r="22" spans="1:5" ht="15" x14ac:dyDescent="0.25">
      <c r="A22" s="343" t="s">
        <v>520</v>
      </c>
      <c r="B22" s="345">
        <v>45623</v>
      </c>
      <c r="C22" s="343">
        <v>39936</v>
      </c>
      <c r="D22" s="343">
        <v>0</v>
      </c>
      <c r="E22" s="346">
        <v>12000000</v>
      </c>
    </row>
    <row r="23" spans="1:5" ht="15" x14ac:dyDescent="0.25">
      <c r="A23" s="343" t="s">
        <v>520</v>
      </c>
      <c r="B23" s="345">
        <v>45623</v>
      </c>
      <c r="C23" s="343">
        <v>39941</v>
      </c>
      <c r="D23" s="343">
        <v>0</v>
      </c>
      <c r="E23" s="346">
        <v>20000000</v>
      </c>
    </row>
    <row r="24" spans="1:5" ht="15.75" thickBot="1" x14ac:dyDescent="0.3">
      <c r="A24" s="343"/>
      <c r="B24" s="343"/>
      <c r="C24" s="343" t="s">
        <v>521</v>
      </c>
      <c r="D24" s="343"/>
      <c r="E24" s="347">
        <f>SUM(E8:E23)</f>
        <v>383156800</v>
      </c>
    </row>
    <row r="25" spans="1:5" ht="15.75" thickTop="1" x14ac:dyDescent="0.25">
      <c r="A25" s="343"/>
      <c r="B25" s="343"/>
      <c r="C25" s="343"/>
      <c r="D25" s="343"/>
      <c r="E25" s="343"/>
    </row>
    <row r="32" spans="1:5" ht="15.75" x14ac:dyDescent="0.25">
      <c r="A32" s="348" t="s">
        <v>510</v>
      </c>
      <c r="B32" s="348"/>
      <c r="C32" s="343"/>
      <c r="E32" s="343" t="s">
        <v>511</v>
      </c>
    </row>
    <row r="34" spans="1:5" ht="15" x14ac:dyDescent="0.25">
      <c r="A34" s="343" t="s">
        <v>512</v>
      </c>
      <c r="B34" s="343"/>
      <c r="C34" s="345">
        <v>45200</v>
      </c>
      <c r="D34" s="343" t="s">
        <v>513</v>
      </c>
      <c r="E34" s="345">
        <v>45523</v>
      </c>
    </row>
    <row r="35" spans="1:5" ht="15" x14ac:dyDescent="0.25">
      <c r="A35" s="343" t="s">
        <v>296</v>
      </c>
      <c r="B35" s="343"/>
      <c r="C35" s="343">
        <v>0</v>
      </c>
      <c r="D35" s="343" t="s">
        <v>514</v>
      </c>
      <c r="E35" s="343">
        <v>0</v>
      </c>
    </row>
    <row r="36" spans="1:5" ht="15" x14ac:dyDescent="0.25">
      <c r="A36" s="355" t="s">
        <v>522</v>
      </c>
      <c r="B36" s="343"/>
      <c r="C36" s="343"/>
      <c r="D36" s="343"/>
      <c r="E36" s="343"/>
    </row>
    <row r="38" spans="1:5" ht="15" x14ac:dyDescent="0.25">
      <c r="A38" s="349" t="s">
        <v>516</v>
      </c>
      <c r="B38" s="349" t="s">
        <v>346</v>
      </c>
      <c r="C38" s="349" t="s">
        <v>517</v>
      </c>
      <c r="D38" s="349" t="s">
        <v>518</v>
      </c>
      <c r="E38" s="349" t="s">
        <v>519</v>
      </c>
    </row>
    <row r="39" spans="1:5" ht="15" x14ac:dyDescent="0.25">
      <c r="A39" s="343" t="s">
        <v>520</v>
      </c>
      <c r="B39" s="345">
        <v>45426</v>
      </c>
      <c r="C39" s="422" t="s">
        <v>523</v>
      </c>
      <c r="E39" s="423">
        <v>296750000</v>
      </c>
    </row>
    <row r="40" spans="1:5" ht="15" x14ac:dyDescent="0.25">
      <c r="A40" s="343" t="s">
        <v>520</v>
      </c>
      <c r="B40" s="354">
        <v>45490</v>
      </c>
      <c r="C40">
        <v>39804</v>
      </c>
      <c r="D40" s="353"/>
      <c r="E40" s="346">
        <v>110000000</v>
      </c>
    </row>
    <row r="41" spans="1:5" ht="15.75" thickBot="1" x14ac:dyDescent="0.3">
      <c r="A41" s="343"/>
      <c r="B41" s="345"/>
      <c r="C41" s="343"/>
      <c r="D41" s="423"/>
      <c r="E41" s="347">
        <f>SUM(E39:E40)</f>
        <v>406750000</v>
      </c>
    </row>
    <row r="42" spans="1:5" ht="15.75" thickTop="1" x14ac:dyDescent="0.25">
      <c r="A42" s="343"/>
      <c r="B42" s="345"/>
      <c r="C42" s="343"/>
      <c r="D42" s="423"/>
      <c r="E42" s="346"/>
    </row>
    <row r="43" spans="1:5" ht="15" x14ac:dyDescent="0.25">
      <c r="A43" s="343"/>
      <c r="B43" s="345"/>
      <c r="C43" s="343"/>
      <c r="D43" s="423"/>
      <c r="E43" s="346"/>
    </row>
    <row r="44" spans="1:5" ht="15" x14ac:dyDescent="0.25">
      <c r="A44" s="343"/>
      <c r="B44" s="345"/>
      <c r="C44" s="343"/>
      <c r="D44" s="423"/>
      <c r="E44" s="346"/>
    </row>
    <row r="45" spans="1:5" ht="15" x14ac:dyDescent="0.25">
      <c r="A45" s="343"/>
      <c r="B45" s="345"/>
      <c r="C45" s="343"/>
      <c r="D45" s="343"/>
      <c r="E45" s="346"/>
    </row>
    <row r="46" spans="1:5" ht="15" x14ac:dyDescent="0.25">
      <c r="A46" s="343"/>
      <c r="B46" s="345"/>
      <c r="C46" s="343"/>
      <c r="D46" s="343"/>
      <c r="E46" s="346"/>
    </row>
    <row r="47" spans="1:5" ht="15" x14ac:dyDescent="0.25">
      <c r="A47" s="343"/>
      <c r="B47" s="345"/>
      <c r="C47" s="343"/>
      <c r="D47" s="343"/>
      <c r="E47" s="346"/>
    </row>
    <row r="48" spans="1:5" ht="15" x14ac:dyDescent="0.25">
      <c r="A48" s="343"/>
      <c r="B48" s="345"/>
      <c r="C48" s="343"/>
      <c r="D48" s="343"/>
      <c r="E48" s="346"/>
    </row>
    <row r="49" spans="1:5" ht="15" x14ac:dyDescent="0.25">
      <c r="A49" s="343"/>
      <c r="B49" s="345"/>
      <c r="C49" s="343"/>
      <c r="D49" s="343"/>
      <c r="E49" s="346"/>
    </row>
    <row r="50" spans="1:5" ht="15" x14ac:dyDescent="0.25">
      <c r="A50" s="343"/>
      <c r="B50" s="343"/>
      <c r="C50" s="343"/>
      <c r="D50" s="343"/>
      <c r="E50" s="346"/>
    </row>
    <row r="51" spans="1:5" ht="15" x14ac:dyDescent="0.25">
      <c r="A51" s="343"/>
      <c r="B51" s="343"/>
      <c r="C51" s="343"/>
      <c r="D51" s="343"/>
      <c r="E51" s="34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L44"/>
  <sheetViews>
    <sheetView topLeftCell="A24" zoomScale="98" zoomScaleNormal="98" workbookViewId="0">
      <selection activeCell="H33" sqref="H33"/>
    </sheetView>
  </sheetViews>
  <sheetFormatPr baseColWidth="10" defaultColWidth="9.140625" defaultRowHeight="24.75" customHeight="1" x14ac:dyDescent="0.25"/>
  <cols>
    <col min="1" max="1" width="4" style="1" customWidth="1"/>
    <col min="2" max="2" width="26" style="1" bestFit="1" customWidth="1"/>
    <col min="3" max="3" width="22.28515625" style="1" bestFit="1" customWidth="1"/>
    <col min="4" max="4" width="20" style="1" bestFit="1" customWidth="1"/>
    <col min="5" max="5" width="22" style="1" bestFit="1" customWidth="1"/>
    <col min="6" max="6" width="23.42578125" style="1" bestFit="1" customWidth="1"/>
    <col min="7" max="7" width="2.42578125" style="1" customWidth="1"/>
    <col min="8" max="9" width="18.85546875" style="1" bestFit="1" customWidth="1"/>
    <col min="10" max="10" width="22.5703125" style="1" bestFit="1" customWidth="1"/>
    <col min="11" max="11" width="12.42578125" style="1" bestFit="1" customWidth="1"/>
    <col min="12" max="12" width="17.42578125" style="1" bestFit="1" customWidth="1"/>
    <col min="13" max="13" width="13.28515625" style="1" bestFit="1" customWidth="1"/>
    <col min="14" max="16384" width="9.140625" style="1"/>
  </cols>
  <sheetData>
    <row r="1" spans="2:12" ht="15.75" x14ac:dyDescent="0.25"/>
    <row r="2" spans="2:12" ht="15.75" x14ac:dyDescent="0.25"/>
    <row r="3" spans="2:12" s="127" customFormat="1" ht="12.75" x14ac:dyDescent="0.2"/>
    <row r="4" spans="2:12" s="127" customFormat="1" ht="12.75" x14ac:dyDescent="0.2"/>
    <row r="5" spans="2:12" s="127" customFormat="1" ht="12.75" x14ac:dyDescent="0.2"/>
    <row r="6" spans="2:12" s="127" customFormat="1" ht="16.5" customHeight="1" x14ac:dyDescent="0.25">
      <c r="B6" s="657" t="s">
        <v>524</v>
      </c>
      <c r="C6" s="657"/>
      <c r="D6" s="657"/>
      <c r="E6" s="657"/>
      <c r="F6" s="657"/>
      <c r="G6" s="657"/>
      <c r="H6" s="657"/>
      <c r="I6" s="657"/>
      <c r="J6" s="657"/>
    </row>
    <row r="7" spans="2:12" s="127" customFormat="1" ht="19.5" customHeight="1" x14ac:dyDescent="0.2">
      <c r="B7" s="659" t="s">
        <v>268</v>
      </c>
      <c r="C7" s="659"/>
      <c r="D7" s="659"/>
      <c r="E7" s="659"/>
      <c r="F7" s="659"/>
      <c r="G7" s="659"/>
      <c r="H7" s="659"/>
      <c r="I7" s="659"/>
      <c r="J7" s="659"/>
    </row>
    <row r="8" spans="2:12" s="127" customFormat="1" ht="20.25" customHeight="1" x14ac:dyDescent="0.25">
      <c r="B8" s="657" t="s">
        <v>525</v>
      </c>
      <c r="C8" s="657"/>
      <c r="D8" s="657"/>
      <c r="E8" s="657"/>
      <c r="F8" s="657"/>
      <c r="G8" s="657"/>
      <c r="H8" s="657"/>
      <c r="I8" s="657"/>
      <c r="J8" s="657"/>
    </row>
    <row r="9" spans="2:12" s="127" customFormat="1" ht="20.25" customHeight="1" x14ac:dyDescent="0.25">
      <c r="B9" s="658">
        <v>45808</v>
      </c>
      <c r="C9" s="658"/>
      <c r="D9" s="658"/>
      <c r="E9" s="658"/>
      <c r="F9" s="658"/>
      <c r="G9" s="658"/>
      <c r="H9" s="658"/>
      <c r="I9" s="658"/>
      <c r="J9" s="658"/>
    </row>
    <row r="10" spans="2:12" s="127" customFormat="1" ht="15.75" x14ac:dyDescent="0.25">
      <c r="B10" s="289"/>
      <c r="C10" s="292"/>
      <c r="D10" s="292"/>
      <c r="E10" s="292"/>
      <c r="F10" s="289"/>
      <c r="G10" s="289"/>
      <c r="H10" s="219"/>
      <c r="I10" s="290"/>
      <c r="J10" s="291"/>
    </row>
    <row r="11" spans="2:12" s="127" customFormat="1" ht="54.75" customHeight="1" thickBot="1" x14ac:dyDescent="0.25">
      <c r="B11" s="293" t="s">
        <v>254</v>
      </c>
      <c r="C11" s="294" t="s">
        <v>526</v>
      </c>
      <c r="D11" s="294" t="s">
        <v>527</v>
      </c>
      <c r="E11" s="294" t="s">
        <v>528</v>
      </c>
      <c r="F11" s="294" t="s">
        <v>529</v>
      </c>
      <c r="G11" s="294"/>
      <c r="H11" s="294" t="s">
        <v>530</v>
      </c>
      <c r="I11" s="294" t="s">
        <v>531</v>
      </c>
      <c r="J11" s="295" t="s">
        <v>532</v>
      </c>
    </row>
    <row r="12" spans="2:12" ht="24.75" customHeight="1" x14ac:dyDescent="0.3">
      <c r="B12" s="296" t="s">
        <v>533</v>
      </c>
      <c r="C12" s="425">
        <v>57967280.019999996</v>
      </c>
      <c r="D12" s="425">
        <v>1003826</v>
      </c>
      <c r="E12" s="425">
        <v>25682855.010000002</v>
      </c>
      <c r="F12" s="426">
        <f>SUM(C12:E12)</f>
        <v>84653961.030000001</v>
      </c>
      <c r="G12" s="425"/>
      <c r="H12" s="426">
        <v>5881555.6499999994</v>
      </c>
      <c r="I12" s="426">
        <f>+H12</f>
        <v>5881555.6499999994</v>
      </c>
      <c r="J12" s="427">
        <f>+F12+I12</f>
        <v>90535516.680000007</v>
      </c>
      <c r="L12" s="2"/>
    </row>
    <row r="13" spans="2:12" ht="24.75" customHeight="1" x14ac:dyDescent="0.3">
      <c r="B13" s="297" t="s">
        <v>534</v>
      </c>
      <c r="C13" s="428">
        <v>10118.5</v>
      </c>
      <c r="D13" s="428">
        <v>0</v>
      </c>
      <c r="E13" s="428">
        <v>0</v>
      </c>
      <c r="F13" s="426">
        <f>SUM(C13:E13)</f>
        <v>10118.5</v>
      </c>
      <c r="G13" s="429"/>
      <c r="H13" s="428">
        <v>0</v>
      </c>
      <c r="I13" s="428">
        <f>+H13</f>
        <v>0</v>
      </c>
      <c r="J13" s="427">
        <f t="shared" ref="J13:J16" si="0">+F13+I13</f>
        <v>10118.5</v>
      </c>
      <c r="L13" s="2"/>
    </row>
    <row r="14" spans="2:12" ht="24.75" customHeight="1" x14ac:dyDescent="0.3">
      <c r="B14" s="297" t="s">
        <v>535</v>
      </c>
      <c r="C14" s="428">
        <v>0</v>
      </c>
      <c r="D14" s="428">
        <v>0</v>
      </c>
      <c r="E14" s="428">
        <v>0</v>
      </c>
      <c r="F14" s="426">
        <f>SUM(C14:E14)</f>
        <v>0</v>
      </c>
      <c r="G14" s="429"/>
      <c r="H14" s="428">
        <v>0</v>
      </c>
      <c r="I14" s="426">
        <f>+H14</f>
        <v>0</v>
      </c>
      <c r="J14" s="427">
        <f t="shared" si="0"/>
        <v>0</v>
      </c>
      <c r="L14" s="2"/>
    </row>
    <row r="15" spans="2:12" ht="24.75" customHeight="1" x14ac:dyDescent="0.3">
      <c r="B15" s="297" t="s">
        <v>536</v>
      </c>
      <c r="C15" s="428">
        <v>0</v>
      </c>
      <c r="D15" s="428">
        <v>0</v>
      </c>
      <c r="E15" s="428">
        <v>0</v>
      </c>
      <c r="F15" s="426">
        <f>SUM(C15:E15)</f>
        <v>0</v>
      </c>
      <c r="G15" s="429"/>
      <c r="H15" s="428">
        <v>0</v>
      </c>
      <c r="I15" s="428">
        <f>+H15</f>
        <v>0</v>
      </c>
      <c r="J15" s="427">
        <f t="shared" si="0"/>
        <v>0</v>
      </c>
    </row>
    <row r="16" spans="2:12" ht="24.75" customHeight="1" x14ac:dyDescent="0.45">
      <c r="B16" s="297" t="s">
        <v>537</v>
      </c>
      <c r="C16" s="430">
        <v>0</v>
      </c>
      <c r="D16" s="430">
        <v>0</v>
      </c>
      <c r="E16" s="430">
        <v>0</v>
      </c>
      <c r="F16" s="431">
        <f>SUM(C16:E16)</f>
        <v>0</v>
      </c>
      <c r="G16" s="432"/>
      <c r="H16" s="430">
        <v>0</v>
      </c>
      <c r="I16" s="430">
        <f>+H16</f>
        <v>0</v>
      </c>
      <c r="J16" s="433">
        <f t="shared" si="0"/>
        <v>0</v>
      </c>
      <c r="K16" s="459"/>
    </row>
    <row r="17" spans="2:12" ht="39" customHeight="1" x14ac:dyDescent="0.3">
      <c r="B17" s="332" t="s">
        <v>538</v>
      </c>
      <c r="C17" s="434">
        <f>SUM(C12:C16)</f>
        <v>57977398.519999996</v>
      </c>
      <c r="D17" s="434">
        <f>SUM(D12:D16)</f>
        <v>1003826</v>
      </c>
      <c r="E17" s="434">
        <f>SUM(E12:E16)</f>
        <v>25682855.010000002</v>
      </c>
      <c r="F17" s="434">
        <f>SUM(F12:F16)</f>
        <v>84664079.530000001</v>
      </c>
      <c r="G17" s="435"/>
      <c r="H17" s="434">
        <f>SUM(H12:H16)</f>
        <v>5881555.6499999994</v>
      </c>
      <c r="I17" s="434">
        <f>SUM(I12:I16)</f>
        <v>5881555.6499999994</v>
      </c>
      <c r="J17" s="436">
        <f>SUM(J12:J16)</f>
        <v>90545635.180000007</v>
      </c>
      <c r="K17" s="459"/>
      <c r="L17" s="18">
        <v>88297236.270000011</v>
      </c>
    </row>
    <row r="18" spans="2:12" ht="24.75" customHeight="1" x14ac:dyDescent="0.3">
      <c r="B18" s="297"/>
      <c r="C18" s="424"/>
      <c r="D18" s="424"/>
      <c r="E18" s="424"/>
      <c r="F18" s="424"/>
      <c r="G18" s="437"/>
      <c r="H18" s="424"/>
      <c r="I18" s="438"/>
      <c r="J18" s="439"/>
      <c r="K18" s="459"/>
    </row>
    <row r="19" spans="2:12" ht="38.25" customHeight="1" x14ac:dyDescent="0.3">
      <c r="B19" s="411" t="s">
        <v>539</v>
      </c>
      <c r="C19" s="438"/>
      <c r="D19" s="438"/>
      <c r="E19" s="538"/>
      <c r="F19" s="438"/>
      <c r="G19" s="440"/>
      <c r="H19" s="438"/>
      <c r="I19" s="438"/>
      <c r="J19" s="439"/>
      <c r="K19" s="459"/>
    </row>
    <row r="20" spans="2:12" ht="24.75" customHeight="1" x14ac:dyDescent="0.3">
      <c r="B20" s="297" t="s">
        <v>533</v>
      </c>
      <c r="C20" s="424">
        <v>41004460.860000007</v>
      </c>
      <c r="D20" s="424">
        <v>535374.4</v>
      </c>
      <c r="E20" s="424">
        <v>21586948.210000001</v>
      </c>
      <c r="F20" s="441">
        <f>SUM(C20:E20)</f>
        <v>63126783.470000006</v>
      </c>
      <c r="G20" s="437"/>
      <c r="H20" s="424">
        <v>5881555.6499999994</v>
      </c>
      <c r="I20" s="424">
        <f>+H20</f>
        <v>5881555.6499999994</v>
      </c>
      <c r="J20" s="442">
        <f>+F20+I20</f>
        <v>69008339.120000005</v>
      </c>
    </row>
    <row r="21" spans="2:12" ht="24.75" customHeight="1" x14ac:dyDescent="0.3">
      <c r="B21" s="297" t="s">
        <v>540</v>
      </c>
      <c r="C21" s="424">
        <v>517891.07</v>
      </c>
      <c r="D21" s="424">
        <v>16730.45</v>
      </c>
      <c r="E21" s="424">
        <v>102397.66</v>
      </c>
      <c r="F21" s="441">
        <f>SUM(C21:E21)</f>
        <v>637019.18000000005</v>
      </c>
      <c r="G21" s="437"/>
      <c r="H21" s="424">
        <v>0</v>
      </c>
      <c r="I21" s="424">
        <f>+H21</f>
        <v>0</v>
      </c>
      <c r="J21" s="443">
        <f>+F21+I21</f>
        <v>637019.18000000005</v>
      </c>
    </row>
    <row r="22" spans="2:12" ht="24.75" customHeight="1" x14ac:dyDescent="0.3">
      <c r="B22" s="297" t="s">
        <v>536</v>
      </c>
      <c r="C22" s="424">
        <v>0</v>
      </c>
      <c r="D22" s="424">
        <v>0</v>
      </c>
      <c r="E22" s="424">
        <v>0</v>
      </c>
      <c r="F22" s="441">
        <f>SUM(C22:E22)</f>
        <v>0</v>
      </c>
      <c r="G22" s="437"/>
      <c r="H22" s="424">
        <v>0</v>
      </c>
      <c r="I22" s="424">
        <f>+H22</f>
        <v>0</v>
      </c>
      <c r="J22" s="443">
        <f>+F22+I22</f>
        <v>0</v>
      </c>
    </row>
    <row r="23" spans="2:12" ht="24.75" customHeight="1" x14ac:dyDescent="0.45">
      <c r="B23" s="297" t="s">
        <v>541</v>
      </c>
      <c r="C23" s="444">
        <v>0</v>
      </c>
      <c r="D23" s="444">
        <v>0</v>
      </c>
      <c r="E23" s="444">
        <v>0</v>
      </c>
      <c r="F23" s="445">
        <f>SUM(C23:E23)</f>
        <v>0</v>
      </c>
      <c r="G23" s="446"/>
      <c r="H23" s="444">
        <v>0</v>
      </c>
      <c r="I23" s="444">
        <f>+H23</f>
        <v>0</v>
      </c>
      <c r="J23" s="447">
        <f>+F23+I23</f>
        <v>0</v>
      </c>
    </row>
    <row r="24" spans="2:12" ht="41.25" customHeight="1" x14ac:dyDescent="0.45">
      <c r="B24" s="299" t="s">
        <v>542</v>
      </c>
      <c r="C24" s="448">
        <f>SUM(C20:C23)</f>
        <v>41522351.930000007</v>
      </c>
      <c r="D24" s="448">
        <f t="shared" ref="D24:F24" si="1">SUM(D20:D23)</f>
        <v>552104.85</v>
      </c>
      <c r="E24" s="448">
        <f t="shared" si="1"/>
        <v>21689345.870000001</v>
      </c>
      <c r="F24" s="448">
        <f t="shared" si="1"/>
        <v>63763802.650000006</v>
      </c>
      <c r="G24" s="449"/>
      <c r="H24" s="448">
        <f>SUM(H20:H23)</f>
        <v>5881555.6499999994</v>
      </c>
      <c r="I24" s="448">
        <f>SUM(I20:I23)</f>
        <v>5881555.6499999994</v>
      </c>
      <c r="J24" s="450">
        <f>SUM(J20:J23)</f>
        <v>69645358.300000012</v>
      </c>
      <c r="L24" s="18">
        <v>66338689.659999996</v>
      </c>
    </row>
    <row r="25" spans="2:12" ht="24.75" customHeight="1" x14ac:dyDescent="0.45">
      <c r="B25" s="298"/>
      <c r="C25" s="451"/>
      <c r="D25" s="451"/>
      <c r="E25" s="451"/>
      <c r="F25" s="451"/>
      <c r="G25" s="452"/>
      <c r="H25" s="424"/>
      <c r="I25" s="424"/>
      <c r="J25" s="442"/>
    </row>
    <row r="26" spans="2:12" ht="63.75" customHeight="1" x14ac:dyDescent="0.45">
      <c r="B26" s="332" t="s">
        <v>543</v>
      </c>
      <c r="C26" s="453">
        <f>+C17-C24</f>
        <v>16455046.589999989</v>
      </c>
      <c r="D26" s="453">
        <f t="shared" ref="D26:F26" si="2">+D17-D24</f>
        <v>451721.15</v>
      </c>
      <c r="E26" s="453">
        <f t="shared" si="2"/>
        <v>3993509.1400000006</v>
      </c>
      <c r="F26" s="453">
        <f t="shared" si="2"/>
        <v>20900276.879999995</v>
      </c>
      <c r="G26" s="454"/>
      <c r="H26" s="453">
        <f t="shared" ref="H26:I26" si="3">+H17-H24</f>
        <v>0</v>
      </c>
      <c r="I26" s="453">
        <f t="shared" si="3"/>
        <v>0</v>
      </c>
      <c r="J26" s="455">
        <f>+J17-J24</f>
        <v>20900276.879999995</v>
      </c>
      <c r="L26" s="18">
        <v>21958546.610000014</v>
      </c>
    </row>
    <row r="27" spans="2:12" ht="24.75" customHeight="1" x14ac:dyDescent="0.3">
      <c r="B27" s="300"/>
      <c r="C27" s="456"/>
      <c r="D27" s="456"/>
      <c r="E27" s="456"/>
      <c r="F27" s="456"/>
      <c r="G27" s="456"/>
      <c r="H27" s="457"/>
      <c r="I27" s="457"/>
      <c r="J27" s="458"/>
    </row>
    <row r="28" spans="2:12" ht="24.75" customHeight="1" x14ac:dyDescent="0.25">
      <c r="B28" s="2"/>
      <c r="C28" s="62"/>
      <c r="D28" s="62"/>
      <c r="E28" s="326"/>
      <c r="F28" s="62"/>
      <c r="G28" s="62"/>
      <c r="H28" s="62"/>
      <c r="I28" s="62"/>
      <c r="J28" s="62"/>
    </row>
    <row r="29" spans="2:12" ht="24.75" customHeight="1" x14ac:dyDescent="0.25">
      <c r="C29" s="581"/>
      <c r="E29" s="484"/>
      <c r="F29" s="62"/>
      <c r="J29" s="2"/>
    </row>
    <row r="30" spans="2:12" ht="24.75" customHeight="1" x14ac:dyDescent="0.25">
      <c r="E30" s="459"/>
      <c r="F30" s="62"/>
    </row>
    <row r="31" spans="2:12" ht="24.75" customHeight="1" x14ac:dyDescent="0.25">
      <c r="C31" s="18"/>
      <c r="E31" s="459"/>
      <c r="F31" s="62"/>
      <c r="J31" s="18"/>
    </row>
    <row r="32" spans="2:12" ht="24.75" customHeight="1" x14ac:dyDescent="0.25">
      <c r="E32" s="459"/>
      <c r="F32" s="62"/>
    </row>
    <row r="33" spans="5:10" ht="24.75" customHeight="1" x14ac:dyDescent="0.25">
      <c r="E33" s="2"/>
      <c r="F33" s="62"/>
    </row>
    <row r="34" spans="5:10" ht="24.75" customHeight="1" x14ac:dyDescent="0.25">
      <c r="E34" s="2"/>
    </row>
    <row r="35" spans="5:10" ht="24.75" customHeight="1" x14ac:dyDescent="0.25">
      <c r="E35" s="2"/>
      <c r="J35" s="18"/>
    </row>
    <row r="36" spans="5:10" ht="24.75" customHeight="1" x14ac:dyDescent="0.25">
      <c r="E36" s="2"/>
    </row>
    <row r="37" spans="5:10" ht="24.75" customHeight="1" x14ac:dyDescent="0.25">
      <c r="E37" s="2"/>
    </row>
    <row r="38" spans="5:10" ht="24.75" customHeight="1" x14ac:dyDescent="0.25">
      <c r="E38" s="2"/>
    </row>
    <row r="39" spans="5:10" ht="24.75" customHeight="1" x14ac:dyDescent="0.25">
      <c r="E39" s="2"/>
    </row>
    <row r="40" spans="5:10" ht="24.75" customHeight="1" x14ac:dyDescent="0.25">
      <c r="E40" s="2"/>
    </row>
    <row r="41" spans="5:10" ht="24.75" customHeight="1" x14ac:dyDescent="0.25">
      <c r="E41" s="2"/>
    </row>
    <row r="42" spans="5:10" ht="24.75" customHeight="1" x14ac:dyDescent="0.25">
      <c r="E42" s="2"/>
    </row>
    <row r="43" spans="5:10" ht="24.75" customHeight="1" x14ac:dyDescent="0.25">
      <c r="E43" s="2"/>
    </row>
    <row r="44" spans="5:10" ht="24.75" customHeight="1" x14ac:dyDescent="0.25">
      <c r="E44" s="2"/>
    </row>
  </sheetData>
  <mergeCells count="4">
    <mergeCell ref="B8:J8"/>
    <mergeCell ref="B9:J9"/>
    <mergeCell ref="B6:J6"/>
    <mergeCell ref="B7:J7"/>
  </mergeCells>
  <pageMargins left="0.19685039370078741" right="0.19685039370078741" top="0.74803149606299213" bottom="0.74803149606299213" header="0.31496062992125984" footer="0.31496062992125984"/>
  <pageSetup scale="5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125"/>
  <sheetViews>
    <sheetView view="pageBreakPreview" topLeftCell="A4" zoomScale="90" zoomScaleNormal="100" zoomScaleSheetLayoutView="90" workbookViewId="0">
      <selection activeCell="H33" sqref="H33"/>
    </sheetView>
  </sheetViews>
  <sheetFormatPr baseColWidth="10" defaultColWidth="9.140625" defaultRowHeight="24.75" customHeight="1" x14ac:dyDescent="0.25"/>
  <cols>
    <col min="1" max="1" width="4.28515625" style="1" customWidth="1"/>
    <col min="2" max="2" width="57.42578125" style="1" customWidth="1"/>
    <col min="3" max="3" width="25.28515625" style="1" customWidth="1"/>
    <col min="4" max="4" width="2.140625" style="1" customWidth="1"/>
    <col min="5" max="5" width="23.85546875" style="1" customWidth="1"/>
    <col min="6" max="6" width="17.42578125" style="1" bestFit="1" customWidth="1"/>
    <col min="7" max="7" width="16.85546875" style="1" customWidth="1"/>
    <col min="8" max="8" width="12.42578125" style="1" customWidth="1"/>
    <col min="9" max="16384" width="9.140625" style="1"/>
  </cols>
  <sheetData>
    <row r="1" spans="2:7" ht="24.75" customHeight="1" x14ac:dyDescent="0.25">
      <c r="C1" s="2"/>
      <c r="D1" s="2"/>
      <c r="E1" s="2"/>
    </row>
    <row r="2" spans="2:7" ht="24.75" customHeight="1" x14ac:dyDescent="0.25">
      <c r="B2" s="15"/>
      <c r="C2" s="15"/>
      <c r="D2" s="15"/>
      <c r="E2" s="15"/>
    </row>
    <row r="3" spans="2:7" ht="24.75" customHeight="1" x14ac:dyDescent="0.25">
      <c r="B3" s="625" t="s">
        <v>544</v>
      </c>
      <c r="C3" s="625"/>
      <c r="D3" s="15"/>
      <c r="E3" s="15"/>
    </row>
    <row r="4" spans="2:7" ht="24.75" customHeight="1" x14ac:dyDescent="0.25">
      <c r="B4" s="625" t="s">
        <v>268</v>
      </c>
      <c r="C4" s="625"/>
      <c r="D4" s="15"/>
      <c r="E4" s="15"/>
    </row>
    <row r="5" spans="2:7" ht="24.75" customHeight="1" x14ac:dyDescent="0.25">
      <c r="B5" s="625" t="s">
        <v>545</v>
      </c>
      <c r="C5" s="625"/>
      <c r="D5" s="15"/>
      <c r="E5" s="15"/>
    </row>
    <row r="6" spans="2:7" ht="24.75" customHeight="1" x14ac:dyDescent="0.25">
      <c r="B6" s="635">
        <v>45808</v>
      </c>
      <c r="C6" s="635"/>
      <c r="D6" s="97"/>
      <c r="F6" s="17"/>
      <c r="G6" s="62"/>
    </row>
    <row r="7" spans="2:7" ht="24.75" customHeight="1" thickBot="1" x14ac:dyDescent="0.3">
      <c r="B7" s="66"/>
      <c r="C7" s="274"/>
      <c r="D7" s="221"/>
      <c r="F7" s="17"/>
      <c r="G7" s="2"/>
    </row>
    <row r="8" spans="2:7" ht="24.75" customHeight="1" thickBot="1" x14ac:dyDescent="0.3">
      <c r="B8" s="68" t="s">
        <v>254</v>
      </c>
      <c r="C8" s="70" t="s">
        <v>271</v>
      </c>
      <c r="D8" s="221"/>
      <c r="F8" s="17"/>
      <c r="G8" s="2"/>
    </row>
    <row r="9" spans="2:7" ht="24.75" customHeight="1" x14ac:dyDescent="0.25">
      <c r="B9" s="275" t="s">
        <v>122</v>
      </c>
      <c r="C9" s="556">
        <v>1999625.43</v>
      </c>
      <c r="D9" s="221"/>
      <c r="E9" s="485"/>
      <c r="F9" s="17"/>
      <c r="G9" s="62"/>
    </row>
    <row r="10" spans="2:7" ht="24.75" customHeight="1" x14ac:dyDescent="0.25">
      <c r="B10" s="276" t="s">
        <v>123</v>
      </c>
      <c r="C10" s="557">
        <v>5305.45</v>
      </c>
      <c r="D10" s="221"/>
      <c r="E10" s="485"/>
      <c r="F10" s="17"/>
      <c r="G10" s="2"/>
    </row>
    <row r="11" spans="2:7" ht="24.75" customHeight="1" x14ac:dyDescent="0.25">
      <c r="B11" s="276" t="s">
        <v>124</v>
      </c>
      <c r="C11" s="557">
        <v>154294.20000000001</v>
      </c>
      <c r="D11" s="336"/>
      <c r="E11" s="575"/>
      <c r="F11" s="17"/>
      <c r="G11" s="62"/>
    </row>
    <row r="12" spans="2:7" ht="24.75" customHeight="1" x14ac:dyDescent="0.25">
      <c r="B12" s="73" t="s">
        <v>125</v>
      </c>
      <c r="C12" s="557">
        <v>18750</v>
      </c>
      <c r="D12" s="221"/>
      <c r="E12" s="485"/>
      <c r="F12" s="17"/>
      <c r="G12" s="2"/>
    </row>
    <row r="13" spans="2:7" ht="24.75" hidden="1" customHeight="1" x14ac:dyDescent="0.25">
      <c r="B13" s="73" t="s">
        <v>125</v>
      </c>
      <c r="C13" s="557"/>
      <c r="D13" s="221"/>
      <c r="F13" s="17"/>
      <c r="G13" s="2"/>
    </row>
    <row r="14" spans="2:7" ht="24.75" hidden="1" customHeight="1" x14ac:dyDescent="0.25">
      <c r="B14" s="73" t="s">
        <v>881</v>
      </c>
      <c r="C14" s="557"/>
      <c r="D14" s="221"/>
      <c r="F14" s="17"/>
      <c r="G14" s="2"/>
    </row>
    <row r="15" spans="2:7" ht="24.75" customHeight="1" x14ac:dyDescent="0.4">
      <c r="B15" s="276" t="s">
        <v>751</v>
      </c>
      <c r="C15" s="224">
        <v>538090</v>
      </c>
      <c r="D15" s="221"/>
      <c r="F15" s="17"/>
      <c r="G15" s="62"/>
    </row>
    <row r="16" spans="2:7" ht="24.75" customHeight="1" x14ac:dyDescent="0.4">
      <c r="B16" s="277" t="s">
        <v>127</v>
      </c>
      <c r="C16" s="278">
        <f>SUM(C9:C15)</f>
        <v>2716065.08</v>
      </c>
      <c r="D16" s="221"/>
      <c r="E16" s="2"/>
      <c r="G16" s="18"/>
    </row>
    <row r="17" spans="2:5" ht="24.75" customHeight="1" thickBot="1" x14ac:dyDescent="0.3">
      <c r="B17" s="81"/>
      <c r="C17" s="156"/>
      <c r="D17" s="221"/>
      <c r="E17" s="2"/>
    </row>
    <row r="18" spans="2:5" ht="24.75" customHeight="1" x14ac:dyDescent="0.25">
      <c r="C18" s="53"/>
      <c r="D18" s="221"/>
      <c r="E18" s="2"/>
    </row>
    <row r="19" spans="2:5" ht="24.75" customHeight="1" x14ac:dyDescent="0.25">
      <c r="C19" s="616"/>
      <c r="D19" s="221"/>
      <c r="E19" s="2"/>
    </row>
    <row r="20" spans="2:5" ht="24.75" customHeight="1" x14ac:dyDescent="0.25">
      <c r="C20" s="53"/>
      <c r="E20" s="2"/>
    </row>
    <row r="21" spans="2:5" ht="24.75" customHeight="1" x14ac:dyDescent="0.25">
      <c r="C21" s="53"/>
      <c r="E21" s="2"/>
    </row>
    <row r="22" spans="2:5" ht="24.75" customHeight="1" x14ac:dyDescent="0.25">
      <c r="C22" s="53"/>
      <c r="E22" s="2"/>
    </row>
    <row r="23" spans="2:5" ht="24.75" customHeight="1" x14ac:dyDescent="0.25">
      <c r="C23" s="53"/>
      <c r="E23" s="2"/>
    </row>
    <row r="24" spans="2:5" ht="24.75" customHeight="1" x14ac:dyDescent="0.25">
      <c r="C24" s="53"/>
      <c r="E24" s="2"/>
    </row>
    <row r="25" spans="2:5" ht="24.75" customHeight="1" x14ac:dyDescent="0.25">
      <c r="C25" s="53"/>
      <c r="E25" s="2"/>
    </row>
    <row r="26" spans="2:5" ht="24.75" customHeight="1" x14ac:dyDescent="0.25">
      <c r="C26" s="53"/>
      <c r="E26" s="2"/>
    </row>
    <row r="27" spans="2:5" ht="24.75" customHeight="1" x14ac:dyDescent="0.25">
      <c r="C27" s="53"/>
      <c r="E27" s="2"/>
    </row>
    <row r="28" spans="2:5" ht="24.75" customHeight="1" x14ac:dyDescent="0.25">
      <c r="C28" s="53"/>
      <c r="E28" s="2"/>
    </row>
    <row r="29" spans="2:5" ht="24.75" customHeight="1" x14ac:dyDescent="0.25">
      <c r="C29" s="53"/>
      <c r="E29" s="2"/>
    </row>
    <row r="30" spans="2:5" ht="24.75" customHeight="1" x14ac:dyDescent="0.25">
      <c r="C30" s="53"/>
      <c r="E30" s="2"/>
    </row>
    <row r="31" spans="2:5" ht="24.75" customHeight="1" x14ac:dyDescent="0.25">
      <c r="C31" s="53"/>
      <c r="E31" s="2"/>
    </row>
    <row r="32" spans="2:5" ht="11.25" customHeight="1" x14ac:dyDescent="0.25">
      <c r="C32" s="53"/>
      <c r="E32" s="2"/>
    </row>
    <row r="33" spans="2:8" ht="24.75" customHeight="1" x14ac:dyDescent="0.25">
      <c r="C33" s="2"/>
    </row>
    <row r="34" spans="2:8" ht="24.75" customHeight="1" x14ac:dyDescent="0.25">
      <c r="B34" s="625" t="str">
        <f>+B3</f>
        <v>NOTA 9</v>
      </c>
      <c r="C34" s="625"/>
    </row>
    <row r="35" spans="2:8" ht="24.75" customHeight="1" x14ac:dyDescent="0.25">
      <c r="B35" s="625" t="str">
        <f>+B4</f>
        <v>Cédula de detalle de cuentas</v>
      </c>
      <c r="C35" s="625"/>
    </row>
    <row r="36" spans="2:8" ht="24.75" customHeight="1" x14ac:dyDescent="0.25">
      <c r="B36" s="625" t="str">
        <f>+B5</f>
        <v xml:space="preserve">Cuentas por pagar </v>
      </c>
      <c r="C36" s="625"/>
      <c r="E36" s="337"/>
      <c r="F36" s="338"/>
      <c r="H36" s="2"/>
    </row>
    <row r="37" spans="2:8" ht="24.75" customHeight="1" x14ac:dyDescent="0.25">
      <c r="B37" s="635">
        <v>45808</v>
      </c>
      <c r="C37" s="635"/>
      <c r="E37" s="337"/>
      <c r="F37" s="338"/>
      <c r="H37" s="28"/>
    </row>
    <row r="38" spans="2:8" ht="24.75" customHeight="1" thickBot="1" x14ac:dyDescent="0.3">
      <c r="E38" s="337"/>
      <c r="F38" s="338"/>
      <c r="H38" s="28"/>
    </row>
    <row r="39" spans="2:8" ht="24.75" customHeight="1" thickBot="1" x14ac:dyDescent="0.3">
      <c r="B39" s="68" t="s">
        <v>254</v>
      </c>
      <c r="C39" s="70" t="s">
        <v>271</v>
      </c>
      <c r="E39" s="337"/>
      <c r="F39" s="338"/>
      <c r="H39" s="28"/>
    </row>
    <row r="40" spans="2:8" ht="24.75" customHeight="1" x14ac:dyDescent="0.25">
      <c r="B40" s="301" t="s">
        <v>888</v>
      </c>
      <c r="C40" s="339">
        <v>25986.63</v>
      </c>
      <c r="E40" s="337"/>
      <c r="F40" s="338"/>
    </row>
    <row r="41" spans="2:8" ht="24.75" customHeight="1" x14ac:dyDescent="0.25">
      <c r="B41" s="275" t="s">
        <v>889</v>
      </c>
      <c r="C41" s="279">
        <v>4573.8</v>
      </c>
      <c r="E41" s="337"/>
      <c r="F41" s="338"/>
    </row>
    <row r="42" spans="2:8" ht="24.75" customHeight="1" x14ac:dyDescent="0.25">
      <c r="B42" s="275" t="s">
        <v>890</v>
      </c>
      <c r="C42" s="279">
        <v>10118.5</v>
      </c>
      <c r="E42" s="337"/>
      <c r="F42" s="338"/>
    </row>
    <row r="43" spans="2:8" ht="24.75" customHeight="1" x14ac:dyDescent="0.25">
      <c r="B43" s="275" t="s">
        <v>873</v>
      </c>
      <c r="C43" s="279">
        <v>228825.60000000001</v>
      </c>
      <c r="E43" s="337"/>
      <c r="F43" s="338"/>
    </row>
    <row r="44" spans="2:8" ht="24.75" customHeight="1" x14ac:dyDescent="0.25">
      <c r="B44" s="275" t="s">
        <v>891</v>
      </c>
      <c r="C44" s="279">
        <v>14750</v>
      </c>
      <c r="E44" s="337"/>
      <c r="F44" s="338"/>
    </row>
    <row r="45" spans="2:8" ht="24.75" customHeight="1" x14ac:dyDescent="0.25">
      <c r="B45" s="275" t="s">
        <v>874</v>
      </c>
      <c r="C45" s="279">
        <v>278480</v>
      </c>
      <c r="E45" s="337"/>
      <c r="F45" s="338"/>
    </row>
    <row r="46" spans="2:8" ht="24.75" customHeight="1" x14ac:dyDescent="0.25">
      <c r="B46" s="275" t="s">
        <v>892</v>
      </c>
      <c r="C46" s="279">
        <v>7572.48</v>
      </c>
      <c r="E46" s="337"/>
      <c r="F46" s="338"/>
    </row>
    <row r="47" spans="2:8" ht="24.75" customHeight="1" x14ac:dyDescent="0.25">
      <c r="B47" s="275" t="s">
        <v>893</v>
      </c>
      <c r="C47" s="279">
        <v>13318.42</v>
      </c>
      <c r="E47" s="337"/>
      <c r="F47" s="338"/>
    </row>
    <row r="48" spans="2:8" ht="24.75" customHeight="1" x14ac:dyDescent="0.25">
      <c r="B48" s="275" t="s">
        <v>894</v>
      </c>
      <c r="C48" s="279">
        <v>1416000</v>
      </c>
      <c r="E48" s="337"/>
      <c r="F48" s="338"/>
    </row>
    <row r="49" spans="2:6" ht="24.75" hidden="1" customHeight="1" x14ac:dyDescent="0.25">
      <c r="B49" s="275" t="s">
        <v>749</v>
      </c>
      <c r="C49" s="279"/>
      <c r="E49" s="337"/>
      <c r="F49" s="338"/>
    </row>
    <row r="50" spans="2:6" ht="23.25" hidden="1" customHeight="1" x14ac:dyDescent="0.25">
      <c r="B50" s="275" t="s">
        <v>750</v>
      </c>
      <c r="C50" s="352"/>
    </row>
    <row r="51" spans="2:6" ht="24.75" customHeight="1" thickBot="1" x14ac:dyDescent="0.45">
      <c r="B51" s="91" t="s">
        <v>287</v>
      </c>
      <c r="C51" s="380">
        <f>SUM(C40:C50)</f>
        <v>1999625.4300000002</v>
      </c>
      <c r="E51" s="2"/>
    </row>
    <row r="52" spans="2:6" ht="15" customHeight="1" x14ac:dyDescent="0.25">
      <c r="C52" s="53"/>
      <c r="E52" s="2"/>
    </row>
    <row r="53" spans="2:6" ht="15" customHeight="1" x14ac:dyDescent="0.25">
      <c r="B53" s="614"/>
      <c r="C53" s="613"/>
      <c r="E53" s="2"/>
    </row>
    <row r="54" spans="2:6" ht="24.75" customHeight="1" x14ac:dyDescent="0.25">
      <c r="C54" s="53"/>
      <c r="E54" s="2"/>
    </row>
    <row r="55" spans="2:6" ht="24.75" customHeight="1" x14ac:dyDescent="0.25">
      <c r="B55" s="625" t="str">
        <f>+B34</f>
        <v>NOTA 9</v>
      </c>
      <c r="C55" s="625"/>
    </row>
    <row r="56" spans="2:6" ht="24.75" customHeight="1" x14ac:dyDescent="0.25">
      <c r="B56" s="625" t="str">
        <f>+B35</f>
        <v>Cédula de detalle de cuentas</v>
      </c>
      <c r="C56" s="625"/>
    </row>
    <row r="57" spans="2:6" ht="24.75" customHeight="1" x14ac:dyDescent="0.25">
      <c r="B57" s="625" t="s">
        <v>546</v>
      </c>
      <c r="C57" s="625"/>
    </row>
    <row r="58" spans="2:6" ht="24.75" customHeight="1" x14ac:dyDescent="0.25">
      <c r="B58" s="635">
        <v>45808</v>
      </c>
      <c r="C58" s="635"/>
    </row>
    <row r="59" spans="2:6" ht="9.75" customHeight="1" thickBot="1" x14ac:dyDescent="0.3">
      <c r="C59" s="2"/>
    </row>
    <row r="60" spans="2:6" ht="24.75" customHeight="1" thickBot="1" x14ac:dyDescent="0.3">
      <c r="B60" s="68" t="s">
        <v>254</v>
      </c>
      <c r="C60" s="70" t="s">
        <v>271</v>
      </c>
    </row>
    <row r="61" spans="2:6" ht="24.75" hidden="1" customHeight="1" x14ac:dyDescent="0.25">
      <c r="B61" s="276" t="s">
        <v>715</v>
      </c>
      <c r="C61" s="280"/>
      <c r="D61" s="287"/>
      <c r="E61" s="288"/>
    </row>
    <row r="62" spans="2:6" ht="24.75" customHeight="1" x14ac:dyDescent="0.25">
      <c r="B62" s="276" t="s">
        <v>901</v>
      </c>
      <c r="C62" s="280">
        <v>5305.45</v>
      </c>
      <c r="D62" s="287"/>
      <c r="E62" s="288"/>
    </row>
    <row r="63" spans="2:6" ht="25.5" hidden="1" customHeight="1" x14ac:dyDescent="0.25">
      <c r="B63" s="276" t="s">
        <v>265</v>
      </c>
      <c r="C63" s="379"/>
      <c r="D63" s="287"/>
      <c r="E63" s="288"/>
    </row>
    <row r="64" spans="2:6" ht="24.75" customHeight="1" x14ac:dyDescent="0.4">
      <c r="B64" s="78" t="s">
        <v>504</v>
      </c>
      <c r="C64" s="80">
        <f>SUM(C61:C63)</f>
        <v>5305.45</v>
      </c>
    </row>
    <row r="65" spans="2:4" ht="16.5" thickBot="1" x14ac:dyDescent="0.3">
      <c r="B65" s="81"/>
      <c r="C65" s="156">
        <f>+C10-C64</f>
        <v>0</v>
      </c>
      <c r="D65" s="28"/>
    </row>
    <row r="66" spans="2:4" ht="25.5" customHeight="1" x14ac:dyDescent="0.25">
      <c r="D66" s="28"/>
    </row>
    <row r="67" spans="2:4" ht="25.5" customHeight="1" x14ac:dyDescent="0.25">
      <c r="D67" s="28"/>
    </row>
    <row r="68" spans="2:4" ht="25.5" customHeight="1" x14ac:dyDescent="0.25">
      <c r="C68" s="18"/>
      <c r="D68" s="28"/>
    </row>
    <row r="69" spans="2:4" ht="18" customHeight="1" x14ac:dyDescent="0.25">
      <c r="D69" s="53"/>
    </row>
    <row r="70" spans="2:4" ht="25.5" customHeight="1" x14ac:dyDescent="0.25">
      <c r="B70" s="625" t="str">
        <f>+B55</f>
        <v>NOTA 9</v>
      </c>
      <c r="C70" s="625"/>
      <c r="D70" s="2"/>
    </row>
    <row r="71" spans="2:4" ht="25.5" customHeight="1" x14ac:dyDescent="0.25">
      <c r="B71" s="625" t="str">
        <f>+B56</f>
        <v>Cédula de detalle de cuentas</v>
      </c>
      <c r="C71" s="625"/>
    </row>
    <row r="72" spans="2:4" ht="25.5" customHeight="1" x14ac:dyDescent="0.25">
      <c r="B72" s="625" t="s">
        <v>125</v>
      </c>
      <c r="C72" s="625"/>
    </row>
    <row r="73" spans="2:4" ht="25.5" customHeight="1" x14ac:dyDescent="0.25">
      <c r="B73" s="635">
        <v>45808</v>
      </c>
      <c r="C73" s="635"/>
    </row>
    <row r="74" spans="2:4" ht="9" customHeight="1" thickBot="1" x14ac:dyDescent="0.3"/>
    <row r="75" spans="2:4" ht="24.75" customHeight="1" x14ac:dyDescent="0.25">
      <c r="B75" s="153" t="s">
        <v>254</v>
      </c>
      <c r="C75" s="154" t="s">
        <v>271</v>
      </c>
    </row>
    <row r="76" spans="2:4" ht="23.25" customHeight="1" x14ac:dyDescent="0.25">
      <c r="B76" s="276" t="s">
        <v>895</v>
      </c>
      <c r="C76" s="280">
        <v>2150</v>
      </c>
    </row>
    <row r="77" spans="2:4" ht="23.25" customHeight="1" x14ac:dyDescent="0.25">
      <c r="B77" s="275" t="s">
        <v>896</v>
      </c>
      <c r="C77" s="279">
        <v>9800</v>
      </c>
    </row>
    <row r="78" spans="2:4" ht="23.25" customHeight="1" x14ac:dyDescent="0.25">
      <c r="B78" s="275" t="s">
        <v>801</v>
      </c>
      <c r="C78" s="279">
        <v>3400</v>
      </c>
    </row>
    <row r="79" spans="2:4" ht="23.25" hidden="1" customHeight="1" x14ac:dyDescent="0.25">
      <c r="B79" s="275" t="s">
        <v>802</v>
      </c>
      <c r="C79" s="279"/>
    </row>
    <row r="80" spans="2:4" ht="23.25" hidden="1" customHeight="1" x14ac:dyDescent="0.25">
      <c r="B80" s="275" t="s">
        <v>667</v>
      </c>
      <c r="C80" s="279"/>
    </row>
    <row r="81" spans="2:3" ht="23.25" customHeight="1" x14ac:dyDescent="0.25">
      <c r="B81" s="275" t="s">
        <v>667</v>
      </c>
      <c r="C81" s="279">
        <v>3400</v>
      </c>
    </row>
    <row r="82" spans="2:3" ht="23.25" hidden="1" customHeight="1" x14ac:dyDescent="0.25">
      <c r="B82" s="275" t="s">
        <v>876</v>
      </c>
      <c r="C82" s="279"/>
    </row>
    <row r="83" spans="2:3" ht="23.25" hidden="1" customHeight="1" x14ac:dyDescent="0.25">
      <c r="B83" s="275" t="s">
        <v>877</v>
      </c>
      <c r="C83" s="279"/>
    </row>
    <row r="84" spans="2:3" ht="23.25" hidden="1" customHeight="1" x14ac:dyDescent="0.25">
      <c r="B84" s="275" t="s">
        <v>878</v>
      </c>
      <c r="C84" s="279"/>
    </row>
    <row r="85" spans="2:3" ht="23.25" hidden="1" customHeight="1" x14ac:dyDescent="0.25">
      <c r="B85" s="275" t="s">
        <v>879</v>
      </c>
      <c r="C85" s="279"/>
    </row>
    <row r="86" spans="2:3" ht="23.25" hidden="1" customHeight="1" x14ac:dyDescent="0.25">
      <c r="B86" s="275" t="s">
        <v>880</v>
      </c>
      <c r="C86" s="352"/>
    </row>
    <row r="87" spans="2:3" ht="23.25" hidden="1" customHeight="1" x14ac:dyDescent="0.25">
      <c r="B87" s="275" t="s">
        <v>547</v>
      </c>
      <c r="C87" s="279"/>
    </row>
    <row r="88" spans="2:3" ht="23.25" hidden="1" customHeight="1" x14ac:dyDescent="0.25">
      <c r="B88" s="275" t="s">
        <v>548</v>
      </c>
      <c r="C88" s="352"/>
    </row>
    <row r="89" spans="2:3" ht="24.75" customHeight="1" x14ac:dyDescent="0.4">
      <c r="B89" s="78" t="s">
        <v>504</v>
      </c>
      <c r="C89" s="80">
        <f>SUM(C76:C88)</f>
        <v>18750</v>
      </c>
    </row>
    <row r="90" spans="2:3" ht="24.75" customHeight="1" thickBot="1" x14ac:dyDescent="0.3">
      <c r="B90" s="81"/>
      <c r="C90" s="156"/>
    </row>
    <row r="91" spans="2:3" ht="24.75" customHeight="1" x14ac:dyDescent="0.25">
      <c r="C91" s="53">
        <f>+C12-C89</f>
        <v>0</v>
      </c>
    </row>
    <row r="92" spans="2:3" ht="8.25" customHeight="1" x14ac:dyDescent="0.25"/>
    <row r="93" spans="2:3" ht="24.75" customHeight="1" x14ac:dyDescent="0.25">
      <c r="C93" s="18"/>
    </row>
    <row r="94" spans="2:3" ht="16.5" customHeight="1" x14ac:dyDescent="0.25"/>
    <row r="95" spans="2:3" ht="24.75" hidden="1" customHeight="1" x14ac:dyDescent="0.25">
      <c r="B95" s="625" t="s">
        <v>544</v>
      </c>
      <c r="C95" s="625"/>
    </row>
    <row r="96" spans="2:3" ht="24.75" hidden="1" customHeight="1" x14ac:dyDescent="0.25">
      <c r="B96" s="625" t="s">
        <v>268</v>
      </c>
      <c r="C96" s="625"/>
    </row>
    <row r="97" spans="2:3" ht="24.75" hidden="1" customHeight="1" x14ac:dyDescent="0.25">
      <c r="B97" s="625" t="s">
        <v>125</v>
      </c>
      <c r="C97" s="625"/>
    </row>
    <row r="98" spans="2:3" ht="24.75" hidden="1" customHeight="1" x14ac:dyDescent="0.25">
      <c r="B98" s="635">
        <v>45626</v>
      </c>
      <c r="C98" s="635"/>
    </row>
    <row r="99" spans="2:3" ht="12" hidden="1" customHeight="1" thickBot="1" x14ac:dyDescent="0.3"/>
    <row r="100" spans="2:3" ht="24.75" hidden="1" customHeight="1" thickBot="1" x14ac:dyDescent="0.3">
      <c r="B100" s="153" t="s">
        <v>254</v>
      </c>
      <c r="C100" s="154" t="s">
        <v>271</v>
      </c>
    </row>
    <row r="101" spans="2:3" ht="24.75" hidden="1" customHeight="1" x14ac:dyDescent="0.25">
      <c r="B101" s="301" t="s">
        <v>549</v>
      </c>
      <c r="C101" s="339"/>
    </row>
    <row r="102" spans="2:3" ht="24.75" hidden="1" customHeight="1" x14ac:dyDescent="0.25">
      <c r="B102" s="276" t="s">
        <v>550</v>
      </c>
      <c r="C102" s="379"/>
    </row>
    <row r="103" spans="2:3" ht="24.75" hidden="1" customHeight="1" x14ac:dyDescent="0.4">
      <c r="B103" s="78" t="s">
        <v>504</v>
      </c>
      <c r="C103" s="80">
        <f>SUM(C101:C102)</f>
        <v>0</v>
      </c>
    </row>
    <row r="105" spans="2:3" ht="24.75" hidden="1" customHeight="1" x14ac:dyDescent="0.25">
      <c r="C105" s="18"/>
    </row>
    <row r="106" spans="2:3" ht="24.75" hidden="1" customHeight="1" x14ac:dyDescent="0.25"/>
    <row r="107" spans="2:3" ht="24.75" hidden="1" customHeight="1" x14ac:dyDescent="0.25">
      <c r="B107" s="625" t="s">
        <v>544</v>
      </c>
      <c r="C107" s="625"/>
    </row>
    <row r="108" spans="2:3" ht="23.25" hidden="1" customHeight="1" x14ac:dyDescent="0.25">
      <c r="B108" s="625" t="s">
        <v>268</v>
      </c>
      <c r="C108" s="625"/>
    </row>
    <row r="109" spans="2:3" ht="24.75" hidden="1" customHeight="1" x14ac:dyDescent="0.25">
      <c r="B109" s="625" t="s">
        <v>551</v>
      </c>
      <c r="C109" s="625"/>
    </row>
    <row r="110" spans="2:3" ht="24.75" hidden="1" customHeight="1" x14ac:dyDescent="0.25">
      <c r="B110" s="635">
        <v>45657</v>
      </c>
      <c r="C110" s="635"/>
    </row>
    <row r="111" spans="2:3" ht="24.75" hidden="1" customHeight="1" thickBot="1" x14ac:dyDescent="0.3"/>
    <row r="112" spans="2:3" ht="24.75" hidden="1" customHeight="1" thickBot="1" x14ac:dyDescent="0.3">
      <c r="B112" s="153" t="s">
        <v>254</v>
      </c>
      <c r="C112" s="154" t="s">
        <v>271</v>
      </c>
    </row>
    <row r="113" spans="2:3" ht="23.25" hidden="1" customHeight="1" x14ac:dyDescent="0.25">
      <c r="B113" s="301" t="s">
        <v>552</v>
      </c>
      <c r="C113" s="339">
        <f>+C13</f>
        <v>0</v>
      </c>
    </row>
    <row r="114" spans="2:3" ht="24.75" hidden="1" customHeight="1" x14ac:dyDescent="0.4">
      <c r="B114" s="78" t="s">
        <v>504</v>
      </c>
      <c r="C114" s="80">
        <f>SUM(C113:C113)</f>
        <v>0</v>
      </c>
    </row>
    <row r="115" spans="2:3" ht="24.75" hidden="1" customHeight="1" thickBot="1" x14ac:dyDescent="0.3">
      <c r="B115" s="81"/>
      <c r="C115" s="156"/>
    </row>
    <row r="116" spans="2:3" ht="24.75" hidden="1" customHeight="1" x14ac:dyDescent="0.25"/>
    <row r="118" spans="2:3" ht="24.75" customHeight="1" x14ac:dyDescent="0.25">
      <c r="B118" s="625" t="s">
        <v>544</v>
      </c>
      <c r="C118" s="625"/>
    </row>
    <row r="119" spans="2:3" ht="24.75" customHeight="1" x14ac:dyDescent="0.25">
      <c r="B119" s="625" t="s">
        <v>268</v>
      </c>
      <c r="C119" s="625"/>
    </row>
    <row r="120" spans="2:3" ht="24.75" customHeight="1" x14ac:dyDescent="0.25">
      <c r="B120" s="625" t="s">
        <v>839</v>
      </c>
      <c r="C120" s="625"/>
    </row>
    <row r="121" spans="2:3" ht="24.75" customHeight="1" thickBot="1" x14ac:dyDescent="0.3">
      <c r="B121" s="635">
        <v>45808</v>
      </c>
      <c r="C121" s="635"/>
    </row>
    <row r="122" spans="2:3" ht="24.75" customHeight="1" thickBot="1" x14ac:dyDescent="0.3">
      <c r="B122" s="68" t="s">
        <v>254</v>
      </c>
      <c r="C122" s="70" t="s">
        <v>271</v>
      </c>
    </row>
    <row r="123" spans="2:3" ht="24.75" customHeight="1" x14ac:dyDescent="0.25">
      <c r="B123" s="276" t="s">
        <v>840</v>
      </c>
      <c r="C123" s="280"/>
    </row>
    <row r="124" spans="2:3" ht="24.75" customHeight="1" x14ac:dyDescent="0.4">
      <c r="B124" s="78" t="s">
        <v>504</v>
      </c>
      <c r="C124" s="80">
        <f>SUM(C123:C123)</f>
        <v>0</v>
      </c>
    </row>
    <row r="125" spans="2:3" ht="24.75" customHeight="1" thickBot="1" x14ac:dyDescent="0.3">
      <c r="B125" s="81"/>
      <c r="C125" s="156"/>
    </row>
  </sheetData>
  <sortState xmlns:xlrd2="http://schemas.microsoft.com/office/spreadsheetml/2017/richdata2" ref="A47:C50">
    <sortCondition ref="A47:A50"/>
  </sortState>
  <mergeCells count="28">
    <mergeCell ref="B56:C56"/>
    <mergeCell ref="B34:C34"/>
    <mergeCell ref="B35:C35"/>
    <mergeCell ref="B36:C36"/>
    <mergeCell ref="B37:C37"/>
    <mergeCell ref="B3:C3"/>
    <mergeCell ref="B4:C4"/>
    <mergeCell ref="B5:C5"/>
    <mergeCell ref="B6:C6"/>
    <mergeCell ref="B55:C55"/>
    <mergeCell ref="B96:C96"/>
    <mergeCell ref="B97:C97"/>
    <mergeCell ref="B98:C98"/>
    <mergeCell ref="B95:C95"/>
    <mergeCell ref="B57:C57"/>
    <mergeCell ref="B58:C58"/>
    <mergeCell ref="B70:C70"/>
    <mergeCell ref="B71:C71"/>
    <mergeCell ref="B73:C73"/>
    <mergeCell ref="B72:C72"/>
    <mergeCell ref="B118:C118"/>
    <mergeCell ref="B119:C119"/>
    <mergeCell ref="B120:C120"/>
    <mergeCell ref="B121:C121"/>
    <mergeCell ref="B107:C107"/>
    <mergeCell ref="B108:C108"/>
    <mergeCell ref="B109:C109"/>
    <mergeCell ref="B110:C110"/>
  </mergeCells>
  <pageMargins left="0.9055118110236221" right="0.70866141732283472" top="0.74803149606299213" bottom="0.74803149606299213" header="0.31496062992125984" footer="0.31496062992125984"/>
  <pageSetup scale="94" orientation="portrait" r:id="rId1"/>
  <rowBreaks count="3" manualBreakCount="3">
    <brk id="31" max="2" man="1"/>
    <brk id="66" max="2" man="1"/>
    <brk id="93" max="2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FE72-4F63-4CFA-8E3D-5CC06D82A2B3}">
  <dimension ref="B1:F43"/>
  <sheetViews>
    <sheetView view="pageBreakPreview" zoomScale="90" zoomScaleNormal="100" zoomScaleSheetLayoutView="90" workbookViewId="0">
      <selection activeCell="H33" sqref="H33"/>
    </sheetView>
  </sheetViews>
  <sheetFormatPr baseColWidth="10" defaultColWidth="9.140625" defaultRowHeight="24.75" customHeight="1" x14ac:dyDescent="0.25"/>
  <cols>
    <col min="1" max="1" width="4.85546875" style="1" customWidth="1"/>
    <col min="2" max="2" width="64.7109375" style="1" customWidth="1"/>
    <col min="3" max="4" width="25.28515625" style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2:6" ht="24.75" customHeight="1" x14ac:dyDescent="0.25">
      <c r="C1" s="2"/>
      <c r="D1" s="85"/>
    </row>
    <row r="2" spans="2:6" ht="24.75" customHeight="1" x14ac:dyDescent="0.25">
      <c r="B2" s="15"/>
      <c r="C2" s="15"/>
      <c r="D2" s="15"/>
    </row>
    <row r="3" spans="2:6" ht="24.75" customHeight="1" x14ac:dyDescent="0.25">
      <c r="B3" s="625" t="s">
        <v>553</v>
      </c>
      <c r="C3" s="625"/>
      <c r="D3" s="45"/>
    </row>
    <row r="4" spans="2:6" ht="24.75" customHeight="1" x14ac:dyDescent="0.25">
      <c r="B4" s="625" t="s">
        <v>268</v>
      </c>
      <c r="C4" s="625"/>
      <c r="D4" s="45"/>
    </row>
    <row r="5" spans="2:6" ht="24.75" customHeight="1" x14ac:dyDescent="0.25">
      <c r="B5" s="625" t="s">
        <v>554</v>
      </c>
      <c r="C5" s="625"/>
      <c r="D5" s="45"/>
    </row>
    <row r="6" spans="2:6" ht="24.75" customHeight="1" x14ac:dyDescent="0.25">
      <c r="B6" s="635">
        <v>45808</v>
      </c>
      <c r="C6" s="635"/>
      <c r="D6" s="65"/>
      <c r="E6" s="17"/>
      <c r="F6" s="62"/>
    </row>
    <row r="7" spans="2:6" ht="24.75" customHeight="1" thickBot="1" x14ac:dyDescent="0.3">
      <c r="B7" s="66"/>
      <c r="C7" s="274"/>
      <c r="D7" s="330"/>
      <c r="E7" s="17"/>
      <c r="F7" s="2"/>
    </row>
    <row r="8" spans="2:6" ht="33.75" customHeight="1" thickBot="1" x14ac:dyDescent="0.3">
      <c r="B8" s="463" t="s">
        <v>254</v>
      </c>
      <c r="C8" s="464" t="s">
        <v>271</v>
      </c>
      <c r="D8" s="45"/>
      <c r="E8" s="17"/>
      <c r="F8" s="2"/>
    </row>
    <row r="9" spans="2:6" ht="36.75" customHeight="1" x14ac:dyDescent="0.4">
      <c r="B9" s="462" t="s">
        <v>555</v>
      </c>
      <c r="C9" s="467">
        <v>0</v>
      </c>
      <c r="D9" s="329"/>
    </row>
    <row r="10" spans="2:6" ht="33" customHeight="1" x14ac:dyDescent="0.4">
      <c r="B10" s="277" t="s">
        <v>556</v>
      </c>
      <c r="C10" s="278">
        <f>SUM(C9:C9)</f>
        <v>0</v>
      </c>
      <c r="D10" s="85"/>
    </row>
    <row r="11" spans="2:6" ht="24.75" customHeight="1" thickBot="1" x14ac:dyDescent="0.3">
      <c r="B11" s="81"/>
      <c r="C11" s="156"/>
      <c r="D11" s="85"/>
    </row>
    <row r="12" spans="2:6" ht="24.75" customHeight="1" x14ac:dyDescent="0.25">
      <c r="C12" s="53"/>
      <c r="D12" s="85"/>
    </row>
    <row r="13" spans="2:6" ht="24.75" customHeight="1" x14ac:dyDescent="0.25">
      <c r="C13" s="486"/>
      <c r="D13" s="85"/>
    </row>
    <row r="14" spans="2:6" ht="24.75" customHeight="1" x14ac:dyDescent="0.25">
      <c r="D14" s="85"/>
    </row>
    <row r="15" spans="2:6" ht="24.75" customHeight="1" x14ac:dyDescent="0.25">
      <c r="D15" s="85"/>
    </row>
    <row r="16" spans="2:6" ht="24.75" customHeight="1" x14ac:dyDescent="0.25">
      <c r="C16" s="53"/>
      <c r="D16" s="85"/>
    </row>
    <row r="17" spans="2:4" ht="24.75" customHeight="1" x14ac:dyDescent="0.25">
      <c r="C17" s="53"/>
      <c r="D17" s="85"/>
    </row>
    <row r="18" spans="2:4" ht="24.75" customHeight="1" x14ac:dyDescent="0.25">
      <c r="C18" s="53"/>
      <c r="D18" s="85"/>
    </row>
    <row r="19" spans="2:4" ht="24.75" customHeight="1" x14ac:dyDescent="0.25">
      <c r="C19" s="53"/>
      <c r="D19" s="85"/>
    </row>
    <row r="20" spans="2:4" ht="24.75" customHeight="1" x14ac:dyDescent="0.25">
      <c r="C20" s="53"/>
      <c r="D20" s="85"/>
    </row>
    <row r="21" spans="2:4" ht="24.75" customHeight="1" x14ac:dyDescent="0.25">
      <c r="C21" s="53"/>
      <c r="D21" s="85"/>
    </row>
    <row r="22" spans="2:4" ht="24.75" customHeight="1" x14ac:dyDescent="0.25">
      <c r="C22" s="53"/>
      <c r="D22" s="85"/>
    </row>
    <row r="23" spans="2:4" ht="24.75" customHeight="1" x14ac:dyDescent="0.25">
      <c r="C23" s="53"/>
      <c r="D23" s="85"/>
    </row>
    <row r="24" spans="2:4" ht="24.75" customHeight="1" x14ac:dyDescent="0.25">
      <c r="C24" s="53"/>
      <c r="D24" s="85"/>
    </row>
    <row r="25" spans="2:4" ht="24.75" customHeight="1" x14ac:dyDescent="0.25">
      <c r="C25" s="53"/>
      <c r="D25" s="85"/>
    </row>
    <row r="26" spans="2:4" ht="24.75" customHeight="1" x14ac:dyDescent="0.25">
      <c r="C26" s="53"/>
      <c r="D26" s="85"/>
    </row>
    <row r="27" spans="2:4" ht="24.75" customHeight="1" x14ac:dyDescent="0.25">
      <c r="C27" s="53"/>
      <c r="D27" s="85"/>
    </row>
    <row r="28" spans="2:4" ht="24.75" customHeight="1" x14ac:dyDescent="0.25">
      <c r="C28" s="53"/>
      <c r="D28" s="85"/>
    </row>
    <row r="32" spans="2:4" ht="24.75" customHeight="1" x14ac:dyDescent="0.25">
      <c r="B32" s="625" t="str">
        <f>+B3</f>
        <v>NOTA 10</v>
      </c>
      <c r="C32" s="625"/>
    </row>
    <row r="33" spans="2:3" ht="24.75" customHeight="1" x14ac:dyDescent="0.25">
      <c r="B33" s="625" t="str">
        <f>+B4</f>
        <v>Cédula de detalle de cuentas</v>
      </c>
      <c r="C33" s="625"/>
    </row>
    <row r="34" spans="2:3" ht="24.75" customHeight="1" x14ac:dyDescent="0.25">
      <c r="B34" s="625" t="s">
        <v>129</v>
      </c>
      <c r="C34" s="625"/>
    </row>
    <row r="35" spans="2:3" ht="24.75" customHeight="1" x14ac:dyDescent="0.25">
      <c r="B35" s="635">
        <v>45808</v>
      </c>
      <c r="C35" s="635"/>
    </row>
    <row r="36" spans="2:3" ht="24.75" customHeight="1" thickBot="1" x14ac:dyDescent="0.3"/>
    <row r="37" spans="2:3" ht="24.75" customHeight="1" thickBot="1" x14ac:dyDescent="0.3">
      <c r="B37" s="463" t="s">
        <v>254</v>
      </c>
      <c r="C37" s="464" t="s">
        <v>271</v>
      </c>
    </row>
    <row r="38" spans="2:3" ht="30" customHeight="1" x14ac:dyDescent="0.4">
      <c r="B38" s="275" t="s">
        <v>304</v>
      </c>
      <c r="C38" s="350">
        <v>0</v>
      </c>
    </row>
    <row r="39" spans="2:3" ht="30" hidden="1" customHeight="1" x14ac:dyDescent="0.25">
      <c r="B39" s="275" t="s">
        <v>558</v>
      </c>
      <c r="C39" s="72"/>
    </row>
    <row r="40" spans="2:3" ht="30" hidden="1" customHeight="1" x14ac:dyDescent="0.4">
      <c r="B40" s="275" t="s">
        <v>559</v>
      </c>
      <c r="C40" s="350"/>
    </row>
    <row r="41" spans="2:3" ht="29.25" customHeight="1" x14ac:dyDescent="0.4">
      <c r="B41" s="331" t="s">
        <v>504</v>
      </c>
      <c r="C41" s="278">
        <f>SUM(C38:C40)</f>
        <v>0</v>
      </c>
    </row>
    <row r="42" spans="2:3" ht="24.75" customHeight="1" thickBot="1" x14ac:dyDescent="0.3">
      <c r="B42" s="81"/>
      <c r="C42" s="156"/>
    </row>
    <row r="43" spans="2:3" ht="24.75" customHeight="1" x14ac:dyDescent="0.25">
      <c r="B43" s="487"/>
      <c r="C43" s="18"/>
    </row>
  </sheetData>
  <mergeCells count="8">
    <mergeCell ref="B32:C32"/>
    <mergeCell ref="B33:C33"/>
    <mergeCell ref="B34:C34"/>
    <mergeCell ref="B35:C35"/>
    <mergeCell ref="B3:C3"/>
    <mergeCell ref="B4:C4"/>
    <mergeCell ref="B5:C5"/>
    <mergeCell ref="B6:C6"/>
  </mergeCells>
  <pageMargins left="0.53" right="0.31496062992125984" top="0.74803149606299213" bottom="0.74803149606299213" header="0.31496062992125984" footer="0.31496062992125984"/>
  <pageSetup scale="9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1"/>
  <sheetViews>
    <sheetView view="pageBreakPreview" zoomScale="90" zoomScaleNormal="100" zoomScaleSheetLayoutView="90" workbookViewId="0">
      <selection activeCell="H33" sqref="H33"/>
    </sheetView>
  </sheetViews>
  <sheetFormatPr baseColWidth="10" defaultColWidth="9.140625" defaultRowHeight="24.75" customHeight="1" x14ac:dyDescent="0.3"/>
  <cols>
    <col min="1" max="1" width="57.5703125" style="1" customWidth="1"/>
    <col min="2" max="2" width="21.28515625" style="1" customWidth="1"/>
    <col min="3" max="3" width="23.7109375" style="1" bestFit="1" customWidth="1"/>
    <col min="4" max="4" width="17.28515625" style="7" bestFit="1" customWidth="1"/>
    <col min="5" max="5" width="9.140625" style="7"/>
    <col min="6" max="16384" width="9.140625" style="1"/>
  </cols>
  <sheetData>
    <row r="1" spans="1:4" ht="24.75" customHeight="1" x14ac:dyDescent="0.3">
      <c r="B1" s="2"/>
    </row>
    <row r="2" spans="1:4" ht="24.75" customHeight="1" x14ac:dyDescent="0.3">
      <c r="B2" s="336"/>
    </row>
    <row r="3" spans="1:4" ht="24.75" customHeight="1" x14ac:dyDescent="0.3">
      <c r="A3" s="625" t="s">
        <v>560</v>
      </c>
      <c r="B3" s="625"/>
    </row>
    <row r="4" spans="1:4" ht="24.75" customHeight="1" x14ac:dyDescent="0.3">
      <c r="A4" s="625" t="s">
        <v>268</v>
      </c>
      <c r="B4" s="625"/>
    </row>
    <row r="5" spans="1:4" ht="24.75" customHeight="1" x14ac:dyDescent="0.3">
      <c r="A5" s="625" t="s">
        <v>25</v>
      </c>
      <c r="B5" s="625"/>
    </row>
    <row r="6" spans="1:4" ht="24.75" customHeight="1" x14ac:dyDescent="0.3">
      <c r="A6" s="635">
        <v>45808</v>
      </c>
      <c r="B6" s="635"/>
    </row>
    <row r="7" spans="1:4" ht="24.75" customHeight="1" thickBot="1" x14ac:dyDescent="0.35">
      <c r="A7" s="66"/>
      <c r="B7" s="225"/>
    </row>
    <row r="8" spans="1:4" ht="24.75" customHeight="1" thickBot="1" x14ac:dyDescent="0.35">
      <c r="A8" s="68" t="s">
        <v>254</v>
      </c>
      <c r="B8" s="70" t="s">
        <v>271</v>
      </c>
    </row>
    <row r="9" spans="1:4" ht="24.75" customHeight="1" x14ac:dyDescent="0.3">
      <c r="A9" s="223" t="s">
        <v>561</v>
      </c>
      <c r="B9" s="553">
        <f>580221.04-4420+260</f>
        <v>576061.04</v>
      </c>
      <c r="D9" s="617"/>
    </row>
    <row r="10" spans="1:4" ht="24.75" customHeight="1" x14ac:dyDescent="0.3">
      <c r="A10" s="73" t="s">
        <v>562</v>
      </c>
      <c r="B10" s="553">
        <f>13838607.8-500</f>
        <v>13838107.800000001</v>
      </c>
    </row>
    <row r="11" spans="1:4" ht="26.25" customHeight="1" x14ac:dyDescent="0.3">
      <c r="A11" s="73" t="s">
        <v>563</v>
      </c>
      <c r="B11" s="553">
        <v>19279.259999999998</v>
      </c>
    </row>
    <row r="12" spans="1:4" ht="24.75" customHeight="1" x14ac:dyDescent="0.3">
      <c r="A12" s="73" t="s">
        <v>564</v>
      </c>
      <c r="B12" s="554">
        <f>3521814.09</f>
        <v>3521814.09</v>
      </c>
    </row>
    <row r="13" spans="1:4" ht="24.75" customHeight="1" x14ac:dyDescent="0.4">
      <c r="A13" s="73" t="s">
        <v>565</v>
      </c>
      <c r="B13" s="555">
        <v>4046547.24</v>
      </c>
      <c r="C13" s="2"/>
    </row>
    <row r="14" spans="1:4" ht="24.75" customHeight="1" x14ac:dyDescent="0.4">
      <c r="A14" s="281" t="s">
        <v>287</v>
      </c>
      <c r="B14" s="80">
        <f>SUM(B9:B13)</f>
        <v>22001809.43</v>
      </c>
      <c r="C14" s="2"/>
    </row>
    <row r="15" spans="1:4" ht="24.75" customHeight="1" thickBot="1" x14ac:dyDescent="0.35">
      <c r="A15" s="227"/>
      <c r="B15" s="83"/>
      <c r="C15" s="2"/>
    </row>
    <row r="16" spans="1:4" ht="24.75" customHeight="1" x14ac:dyDescent="0.3">
      <c r="B16" s="2"/>
      <c r="C16" s="2"/>
    </row>
    <row r="17" spans="1:3" ht="24.75" customHeight="1" x14ac:dyDescent="0.3">
      <c r="B17" s="2"/>
      <c r="C17" s="2"/>
    </row>
    <row r="18" spans="1:3" ht="24.75" customHeight="1" x14ac:dyDescent="0.3">
      <c r="B18" s="26"/>
    </row>
    <row r="19" spans="1:3" ht="24.75" customHeight="1" x14ac:dyDescent="0.3">
      <c r="B19" s="2"/>
    </row>
    <row r="20" spans="1:3" ht="24.75" customHeight="1" x14ac:dyDescent="0.3">
      <c r="B20" s="2"/>
    </row>
    <row r="21" spans="1:3" ht="24.75" customHeight="1" x14ac:dyDescent="0.3">
      <c r="B21" s="2"/>
    </row>
    <row r="22" spans="1:3" ht="24.75" customHeight="1" x14ac:dyDescent="0.3">
      <c r="B22" s="2"/>
    </row>
    <row r="23" spans="1:3" ht="24.75" customHeight="1" x14ac:dyDescent="0.3">
      <c r="B23" s="2"/>
    </row>
    <row r="24" spans="1:3" ht="24.75" customHeight="1" x14ac:dyDescent="0.3">
      <c r="B24" s="2"/>
    </row>
    <row r="25" spans="1:3" ht="24.75" customHeight="1" x14ac:dyDescent="0.3">
      <c r="B25" s="2"/>
    </row>
    <row r="26" spans="1:3" ht="24.75" customHeight="1" x14ac:dyDescent="0.3">
      <c r="B26" s="2"/>
    </row>
    <row r="27" spans="1:3" ht="24.75" customHeight="1" x14ac:dyDescent="0.3">
      <c r="A27" s="15"/>
      <c r="B27" s="15"/>
    </row>
    <row r="28" spans="1:3" ht="24.75" customHeight="1" x14ac:dyDescent="0.3">
      <c r="A28" s="15"/>
      <c r="B28" s="15"/>
    </row>
    <row r="29" spans="1:3" ht="24.75" customHeight="1" x14ac:dyDescent="0.3">
      <c r="A29" s="15"/>
      <c r="B29" s="15"/>
    </row>
    <row r="30" spans="1:3" ht="24.75" customHeight="1" x14ac:dyDescent="0.3">
      <c r="A30" s="15"/>
      <c r="B30" s="15"/>
    </row>
    <row r="31" spans="1:3" ht="24.75" customHeight="1" x14ac:dyDescent="0.3">
      <c r="A31" s="15"/>
      <c r="B31" s="15"/>
    </row>
    <row r="32" spans="1:3" ht="24.75" customHeight="1" x14ac:dyDescent="0.3">
      <c r="A32" s="15"/>
      <c r="B32" s="15"/>
    </row>
    <row r="33" spans="1:6" ht="24.75" customHeight="1" x14ac:dyDescent="0.3">
      <c r="A33" s="15"/>
      <c r="B33" s="15"/>
    </row>
    <row r="34" spans="1:6" ht="24.75" customHeight="1" x14ac:dyDescent="0.3">
      <c r="A34" s="15"/>
      <c r="B34" s="15"/>
    </row>
    <row r="35" spans="1:6" ht="24.75" customHeight="1" x14ac:dyDescent="0.3">
      <c r="A35" s="625" t="str">
        <f>+A3</f>
        <v>NOTA 11</v>
      </c>
      <c r="B35" s="625"/>
    </row>
    <row r="36" spans="1:6" ht="24.75" customHeight="1" x14ac:dyDescent="0.3">
      <c r="A36" s="625" t="str">
        <f>+A4</f>
        <v>Cédula de detalle de cuentas</v>
      </c>
      <c r="B36" s="625"/>
      <c r="C36" s="229"/>
    </row>
    <row r="37" spans="1:6" ht="24.75" customHeight="1" x14ac:dyDescent="0.3">
      <c r="A37" s="625" t="s">
        <v>566</v>
      </c>
      <c r="B37" s="625"/>
    </row>
    <row r="38" spans="1:6" ht="24.75" customHeight="1" x14ac:dyDescent="0.3">
      <c r="A38" s="635">
        <v>45808</v>
      </c>
      <c r="B38" s="635"/>
    </row>
    <row r="39" spans="1:6" ht="24.75" customHeight="1" thickBot="1" x14ac:dyDescent="0.35">
      <c r="A39" s="66"/>
      <c r="B39" s="45"/>
    </row>
    <row r="40" spans="1:6" ht="24.75" customHeight="1" thickBot="1" x14ac:dyDescent="0.35">
      <c r="A40" s="68" t="s">
        <v>254</v>
      </c>
      <c r="B40" s="70" t="s">
        <v>271</v>
      </c>
      <c r="D40" s="500"/>
    </row>
    <row r="41" spans="1:6" ht="24.75" customHeight="1" x14ac:dyDescent="0.3">
      <c r="A41" s="71" t="s">
        <v>904</v>
      </c>
      <c r="B41" s="412">
        <v>43236.04</v>
      </c>
      <c r="D41" s="500"/>
    </row>
    <row r="42" spans="1:6" ht="40.5" hidden="1" customHeight="1" x14ac:dyDescent="0.3">
      <c r="A42" s="284" t="s">
        <v>875</v>
      </c>
      <c r="B42" s="412"/>
      <c r="D42" s="552"/>
      <c r="F42" s="28"/>
    </row>
    <row r="43" spans="1:6" ht="40.5" hidden="1" customHeight="1" x14ac:dyDescent="0.3">
      <c r="A43" s="284" t="s">
        <v>567</v>
      </c>
      <c r="B43" s="412"/>
      <c r="D43" s="552"/>
    </row>
    <row r="44" spans="1:6" ht="33.75" customHeight="1" x14ac:dyDescent="0.3">
      <c r="A44" s="284" t="s">
        <v>905</v>
      </c>
      <c r="B44" s="412">
        <f>79820-4420</f>
        <v>75400</v>
      </c>
      <c r="D44" s="552"/>
    </row>
    <row r="45" spans="1:6" ht="33.75" hidden="1" customHeight="1" x14ac:dyDescent="0.3">
      <c r="A45" s="284" t="s">
        <v>568</v>
      </c>
      <c r="B45" s="412"/>
    </row>
    <row r="46" spans="1:6" ht="36.75" customHeight="1" x14ac:dyDescent="0.4">
      <c r="A46" s="284" t="s">
        <v>906</v>
      </c>
      <c r="B46" s="413">
        <v>457425</v>
      </c>
      <c r="D46" s="502"/>
    </row>
    <row r="47" spans="1:6" ht="24.75" customHeight="1" x14ac:dyDescent="0.4">
      <c r="A47" s="73"/>
      <c r="B47" s="278">
        <f>SUM(B41:B46)</f>
        <v>576061.04</v>
      </c>
      <c r="D47" s="502"/>
    </row>
    <row r="48" spans="1:6" ht="24.75" customHeight="1" thickBot="1" x14ac:dyDescent="0.35">
      <c r="A48" s="81"/>
      <c r="B48" s="230">
        <f>+B9-B47</f>
        <v>0</v>
      </c>
      <c r="D48" s="502"/>
    </row>
    <row r="49" spans="1:4" ht="24.75" customHeight="1" x14ac:dyDescent="0.3">
      <c r="B49" s="2"/>
      <c r="D49" s="502">
        <v>54600</v>
      </c>
    </row>
    <row r="50" spans="1:4" ht="24.75" customHeight="1" x14ac:dyDescent="0.3">
      <c r="B50" s="2"/>
      <c r="D50" s="502">
        <v>504554.93</v>
      </c>
    </row>
    <row r="51" spans="1:4" ht="24.75" customHeight="1" x14ac:dyDescent="0.35">
      <c r="A51" s="501"/>
      <c r="B51" s="2"/>
      <c r="D51" s="502">
        <v>396775</v>
      </c>
    </row>
    <row r="52" spans="1:4" ht="24.75" customHeight="1" x14ac:dyDescent="0.3">
      <c r="B52" s="2"/>
    </row>
    <row r="53" spans="1:4" ht="24.75" customHeight="1" x14ac:dyDescent="0.3">
      <c r="B53" s="2"/>
    </row>
    <row r="54" spans="1:4" ht="24.75" customHeight="1" x14ac:dyDescent="0.3">
      <c r="B54" s="2"/>
    </row>
    <row r="55" spans="1:4" ht="24.75" customHeight="1" x14ac:dyDescent="0.3">
      <c r="B55" s="2"/>
    </row>
    <row r="56" spans="1:4" ht="24.75" customHeight="1" x14ac:dyDescent="0.3">
      <c r="B56" s="2"/>
    </row>
    <row r="57" spans="1:4" ht="24.75" customHeight="1" x14ac:dyDescent="0.3">
      <c r="B57" s="2"/>
    </row>
    <row r="58" spans="1:4" ht="24.75" customHeight="1" x14ac:dyDescent="0.3">
      <c r="B58" s="2"/>
    </row>
    <row r="59" spans="1:4" ht="24.75" customHeight="1" x14ac:dyDescent="0.3">
      <c r="B59" s="2"/>
    </row>
    <row r="60" spans="1:4" ht="24.75" customHeight="1" x14ac:dyDescent="0.3">
      <c r="B60" s="2"/>
    </row>
    <row r="61" spans="1:4" ht="24.75" customHeight="1" x14ac:dyDescent="0.3">
      <c r="B61" s="2"/>
    </row>
  </sheetData>
  <mergeCells count="8">
    <mergeCell ref="A37:B37"/>
    <mergeCell ref="A38:B38"/>
    <mergeCell ref="A36:B36"/>
    <mergeCell ref="A3:B3"/>
    <mergeCell ref="A4:B4"/>
    <mergeCell ref="A5:B5"/>
    <mergeCell ref="A6:B6"/>
    <mergeCell ref="A35:B35"/>
  </mergeCells>
  <phoneticPr fontId="59" type="noConversion"/>
  <printOptions horizontalCentered="1"/>
  <pageMargins left="0.51181102362204722" right="0.31496062992125984" top="0.74803149606299213" bottom="0.74803149606299213" header="0.31496062992125984" footer="0.31496062992125984"/>
  <pageSetup scale="94" orientation="portrait" r:id="rId1"/>
  <rowBreaks count="1" manualBreakCount="1">
    <brk id="61" max="2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N45"/>
  <sheetViews>
    <sheetView topLeftCell="A11" workbookViewId="0">
      <selection activeCell="H33" sqref="H33"/>
    </sheetView>
  </sheetViews>
  <sheetFormatPr baseColWidth="10" defaultColWidth="11.42578125" defaultRowHeight="15.75" x14ac:dyDescent="0.25"/>
  <cols>
    <col min="1" max="1" width="4.85546875" style="1" customWidth="1"/>
    <col min="2" max="2" width="49.28515625" style="1" customWidth="1"/>
    <col min="3" max="3" width="19.28515625" style="1" bestFit="1" customWidth="1"/>
    <col min="4" max="4" width="24.140625" style="1" bestFit="1" customWidth="1"/>
    <col min="5" max="5" width="17.28515625" style="1" bestFit="1" customWidth="1"/>
    <col min="6" max="6" width="4.28515625" style="1" customWidth="1"/>
    <col min="7" max="7" width="29" style="1" bestFit="1" customWidth="1"/>
    <col min="8" max="8" width="16.42578125" style="1" bestFit="1" customWidth="1"/>
    <col min="9" max="9" width="16" style="1" bestFit="1" customWidth="1"/>
    <col min="10" max="10" width="15.85546875" style="1" bestFit="1" customWidth="1"/>
    <col min="11" max="11" width="16" style="1" bestFit="1" customWidth="1"/>
    <col min="12" max="12" width="15.7109375" style="1" bestFit="1" customWidth="1"/>
    <col min="13" max="13" width="15.85546875" style="1" bestFit="1" customWidth="1"/>
    <col min="14" max="16384" width="11.42578125" style="1"/>
  </cols>
  <sheetData>
    <row r="5" spans="1:4" s="44" customFormat="1" ht="18.75" x14ac:dyDescent="0.3">
      <c r="A5" s="246" t="s">
        <v>569</v>
      </c>
    </row>
    <row r="6" spans="1:4" s="44" customFormat="1" ht="18.75" x14ac:dyDescent="0.3">
      <c r="A6" s="44" t="s">
        <v>721</v>
      </c>
    </row>
    <row r="7" spans="1:4" ht="16.5" thickBot="1" x14ac:dyDescent="0.3"/>
    <row r="8" spans="1:4" ht="22.5" customHeight="1" thickBot="1" x14ac:dyDescent="0.3">
      <c r="A8" s="239" t="s">
        <v>570</v>
      </c>
      <c r="B8" s="260" t="s">
        <v>571</v>
      </c>
      <c r="C8" s="260" t="s">
        <v>572</v>
      </c>
      <c r="D8" s="261" t="s">
        <v>573</v>
      </c>
    </row>
    <row r="9" spans="1:4" x14ac:dyDescent="0.25">
      <c r="A9" s="256">
        <v>1</v>
      </c>
      <c r="B9" s="257" t="s">
        <v>575</v>
      </c>
      <c r="C9" s="258">
        <v>8399520</v>
      </c>
      <c r="D9" s="259">
        <v>8399520</v>
      </c>
    </row>
    <row r="10" spans="1:4" x14ac:dyDescent="0.25">
      <c r="A10" s="137">
        <v>2</v>
      </c>
      <c r="B10" s="137" t="s">
        <v>729</v>
      </c>
      <c r="C10" s="250">
        <v>35000</v>
      </c>
      <c r="D10" s="249">
        <v>35000</v>
      </c>
    </row>
    <row r="11" spans="1:4" x14ac:dyDescent="0.25">
      <c r="A11" s="248">
        <v>3</v>
      </c>
      <c r="B11" s="137" t="s">
        <v>730</v>
      </c>
      <c r="C11" s="250">
        <v>740000</v>
      </c>
      <c r="D11" s="249">
        <v>740000</v>
      </c>
    </row>
    <row r="12" spans="1:4" x14ac:dyDescent="0.25">
      <c r="A12" s="137">
        <v>4</v>
      </c>
      <c r="B12" s="137" t="s">
        <v>731</v>
      </c>
      <c r="C12" s="250">
        <v>610000</v>
      </c>
      <c r="D12" s="249">
        <v>610000</v>
      </c>
    </row>
    <row r="13" spans="1:4" x14ac:dyDescent="0.25">
      <c r="A13" s="248">
        <v>5</v>
      </c>
      <c r="B13" s="137" t="s">
        <v>574</v>
      </c>
      <c r="C13" s="250">
        <v>9747380</v>
      </c>
      <c r="D13" s="249">
        <v>9747380</v>
      </c>
    </row>
    <row r="14" spans="1:4" x14ac:dyDescent="0.25">
      <c r="A14" s="137">
        <v>6</v>
      </c>
      <c r="B14" s="137" t="s">
        <v>773</v>
      </c>
      <c r="C14" s="250">
        <v>1247700</v>
      </c>
      <c r="D14" s="249">
        <v>1247700</v>
      </c>
    </row>
    <row r="15" spans="1:4" x14ac:dyDescent="0.25">
      <c r="A15" s="248">
        <v>7</v>
      </c>
      <c r="B15" s="137" t="s">
        <v>732</v>
      </c>
      <c r="C15" s="250">
        <v>8399520</v>
      </c>
      <c r="D15" s="249">
        <f>+C15*3</f>
        <v>25198560</v>
      </c>
    </row>
    <row r="16" spans="1:4" x14ac:dyDescent="0.25">
      <c r="A16" s="137">
        <v>8</v>
      </c>
      <c r="B16" s="251" t="s">
        <v>733</v>
      </c>
      <c r="C16" s="250">
        <v>870000</v>
      </c>
      <c r="D16" s="249">
        <f>+C16*3</f>
        <v>2610000</v>
      </c>
    </row>
    <row r="17" spans="1:14" ht="18" x14ac:dyDescent="0.4">
      <c r="A17" s="248">
        <v>9</v>
      </c>
      <c r="B17" s="137" t="s">
        <v>734</v>
      </c>
      <c r="C17" s="250">
        <v>477860</v>
      </c>
      <c r="D17" s="529">
        <f>+C17*3</f>
        <v>1433580</v>
      </c>
    </row>
    <row r="18" spans="1:14" x14ac:dyDescent="0.25">
      <c r="A18" s="137"/>
      <c r="B18" s="234" t="s">
        <v>576</v>
      </c>
      <c r="C18" s="234"/>
      <c r="D18" s="252">
        <f>SUM(D9:D17)</f>
        <v>50021740</v>
      </c>
    </row>
    <row r="19" spans="1:14" x14ac:dyDescent="0.25">
      <c r="A19" s="137"/>
      <c r="B19" s="113"/>
      <c r="C19" s="113"/>
      <c r="D19" s="113"/>
    </row>
    <row r="20" spans="1:14" x14ac:dyDescent="0.25">
      <c r="A20" s="137"/>
      <c r="B20" s="113"/>
      <c r="C20" s="138" t="s">
        <v>577</v>
      </c>
      <c r="D20" s="247" t="s">
        <v>578</v>
      </c>
    </row>
    <row r="21" spans="1:14" ht="22.5" customHeight="1" x14ac:dyDescent="0.4">
      <c r="A21" s="137"/>
      <c r="B21" s="253" t="s">
        <v>728</v>
      </c>
      <c r="C21" s="254"/>
      <c r="D21" s="255">
        <f>+D18/12</f>
        <v>4168478.3333333335</v>
      </c>
    </row>
    <row r="22" spans="1:14" x14ac:dyDescent="0.25">
      <c r="A22" s="137"/>
      <c r="B22" s="113"/>
      <c r="C22" s="113"/>
      <c r="D22" s="113"/>
      <c r="E22" s="18"/>
      <c r="I22" s="2"/>
    </row>
    <row r="23" spans="1:14" x14ac:dyDescent="0.25">
      <c r="A23" s="63"/>
      <c r="E23" s="2"/>
      <c r="I23" s="2"/>
      <c r="J23" s="2"/>
      <c r="K23" s="2"/>
      <c r="L23" s="2"/>
      <c r="M23" s="2"/>
      <c r="N23" s="2"/>
    </row>
    <row r="24" spans="1:14" x14ac:dyDescent="0.25">
      <c r="A24" s="63"/>
      <c r="B24" s="1" t="s">
        <v>596</v>
      </c>
      <c r="C24" s="51">
        <f>+D21</f>
        <v>4168478.3333333335</v>
      </c>
      <c r="E24" s="18"/>
      <c r="I24" s="2"/>
      <c r="J24" s="2"/>
      <c r="K24" s="2"/>
      <c r="L24" s="2"/>
      <c r="M24" s="2"/>
      <c r="N24" s="2"/>
    </row>
    <row r="25" spans="1:14" x14ac:dyDescent="0.25">
      <c r="A25" s="63"/>
      <c r="B25" s="63" t="s">
        <v>885</v>
      </c>
      <c r="C25" s="51">
        <v>611723.21</v>
      </c>
      <c r="I25" s="2"/>
      <c r="J25" s="2"/>
      <c r="K25" s="2"/>
      <c r="L25" s="2"/>
      <c r="M25" s="2"/>
      <c r="N25" s="2"/>
    </row>
    <row r="26" spans="1:14" ht="16.5" thickBot="1" x14ac:dyDescent="0.3">
      <c r="A26" s="63"/>
      <c r="B26" s="131" t="s">
        <v>727</v>
      </c>
      <c r="C26" s="480">
        <f>+C24-C25</f>
        <v>3556755.1233333335</v>
      </c>
      <c r="G26" s="131"/>
      <c r="I26" s="2"/>
      <c r="J26" s="2"/>
      <c r="K26" s="2"/>
      <c r="L26" s="2"/>
      <c r="M26" s="2"/>
      <c r="N26" s="2"/>
    </row>
    <row r="27" spans="1:14" ht="16.5" thickTop="1" x14ac:dyDescent="0.25">
      <c r="A27" s="63"/>
      <c r="G27" s="131"/>
      <c r="I27" s="2"/>
      <c r="J27" s="2"/>
      <c r="K27" s="2"/>
      <c r="L27" s="2"/>
      <c r="M27" s="2"/>
      <c r="N27" s="2"/>
    </row>
    <row r="28" spans="1:14" x14ac:dyDescent="0.25">
      <c r="A28" s="63"/>
      <c r="G28" s="131"/>
      <c r="I28" s="2"/>
      <c r="J28" s="2"/>
      <c r="K28" s="2"/>
      <c r="L28" s="2"/>
      <c r="M28" s="2"/>
      <c r="N28" s="2"/>
    </row>
    <row r="29" spans="1:14" ht="16.5" thickBot="1" x14ac:dyDescent="0.3">
      <c r="A29" s="63"/>
      <c r="I29" s="2"/>
      <c r="J29" s="2"/>
      <c r="K29" s="2"/>
      <c r="L29" s="2"/>
      <c r="M29" s="2"/>
      <c r="N29" s="2"/>
    </row>
    <row r="30" spans="1:14" ht="16.5" thickBot="1" x14ac:dyDescent="0.3">
      <c r="A30" s="63"/>
      <c r="B30" s="525" t="s">
        <v>771</v>
      </c>
      <c r="C30" s="526" t="s">
        <v>271</v>
      </c>
      <c r="D30" s="527" t="s">
        <v>772</v>
      </c>
      <c r="J30" s="2"/>
      <c r="K30" s="2"/>
      <c r="L30" s="2"/>
      <c r="M30" s="2"/>
      <c r="N30" s="2"/>
    </row>
    <row r="31" spans="1:14" x14ac:dyDescent="0.25">
      <c r="A31" s="63"/>
      <c r="B31" s="524">
        <v>45658</v>
      </c>
      <c r="C31" s="528">
        <v>4158693.44</v>
      </c>
      <c r="D31" s="528">
        <f>+C31</f>
        <v>4158693.44</v>
      </c>
      <c r="J31" s="2"/>
      <c r="K31" s="2"/>
      <c r="L31" s="2"/>
      <c r="M31" s="2"/>
      <c r="N31" s="2"/>
    </row>
    <row r="32" spans="1:14" x14ac:dyDescent="0.25">
      <c r="B32" s="523">
        <v>45689</v>
      </c>
      <c r="C32" s="550">
        <v>4178263.23</v>
      </c>
      <c r="D32" s="551">
        <f>+D31+C32</f>
        <v>8336956.6699999999</v>
      </c>
      <c r="J32" s="2"/>
      <c r="K32" s="2"/>
      <c r="L32" s="2"/>
      <c r="M32" s="2"/>
      <c r="N32" s="2"/>
    </row>
    <row r="33" spans="2:14" x14ac:dyDescent="0.25">
      <c r="B33" s="523">
        <v>45717</v>
      </c>
      <c r="C33" s="550">
        <v>4168478.33</v>
      </c>
      <c r="D33" s="551">
        <f>+D32+C33</f>
        <v>12505435</v>
      </c>
      <c r="E33" s="18"/>
      <c r="I33" s="2"/>
      <c r="J33" s="2"/>
      <c r="K33" s="2"/>
      <c r="L33" s="2"/>
      <c r="M33" s="2"/>
      <c r="N33" s="2"/>
    </row>
    <row r="34" spans="2:14" x14ac:dyDescent="0.25">
      <c r="B34" s="523">
        <v>45748</v>
      </c>
      <c r="C34" s="550">
        <v>4168478.33</v>
      </c>
      <c r="D34" s="528">
        <f>+D33+C34</f>
        <v>16673913.33</v>
      </c>
      <c r="E34" s="18"/>
    </row>
    <row r="35" spans="2:14" x14ac:dyDescent="0.25">
      <c r="B35" s="567">
        <v>45778</v>
      </c>
      <c r="C35" s="566">
        <v>4168478.33</v>
      </c>
      <c r="D35" s="568">
        <f>+D34+C35</f>
        <v>20842391.66</v>
      </c>
      <c r="E35" s="18"/>
    </row>
    <row r="36" spans="2:14" hidden="1" x14ac:dyDescent="0.25">
      <c r="B36" s="523">
        <v>45809</v>
      </c>
      <c r="C36" s="113"/>
      <c r="D36" s="528">
        <f t="shared" ref="D36:D42" si="0">+C36</f>
        <v>0</v>
      </c>
    </row>
    <row r="37" spans="2:14" hidden="1" x14ac:dyDescent="0.25">
      <c r="B37" s="523">
        <v>45839</v>
      </c>
      <c r="C37" s="113"/>
      <c r="D37" s="528">
        <f t="shared" si="0"/>
        <v>0</v>
      </c>
    </row>
    <row r="38" spans="2:14" hidden="1" x14ac:dyDescent="0.25">
      <c r="B38" s="523">
        <v>45870</v>
      </c>
      <c r="C38" s="113"/>
      <c r="D38" s="528">
        <f t="shared" si="0"/>
        <v>0</v>
      </c>
      <c r="E38" s="18"/>
    </row>
    <row r="39" spans="2:14" hidden="1" x14ac:dyDescent="0.25">
      <c r="B39" s="523">
        <v>45901</v>
      </c>
      <c r="C39" s="113"/>
      <c r="D39" s="528">
        <f t="shared" si="0"/>
        <v>0</v>
      </c>
    </row>
    <row r="40" spans="2:14" hidden="1" x14ac:dyDescent="0.25">
      <c r="B40" s="523">
        <v>45931</v>
      </c>
      <c r="C40" s="113"/>
      <c r="D40" s="528">
        <f t="shared" si="0"/>
        <v>0</v>
      </c>
    </row>
    <row r="41" spans="2:14" hidden="1" x14ac:dyDescent="0.25">
      <c r="B41" s="523">
        <v>45962</v>
      </c>
      <c r="C41" s="113"/>
      <c r="D41" s="528">
        <f t="shared" si="0"/>
        <v>0</v>
      </c>
    </row>
    <row r="42" spans="2:14" hidden="1" x14ac:dyDescent="0.25">
      <c r="B42" s="523">
        <v>45992</v>
      </c>
      <c r="C42" s="113"/>
      <c r="D42" s="528">
        <f t="shared" si="0"/>
        <v>0</v>
      </c>
    </row>
    <row r="43" spans="2:14" hidden="1" x14ac:dyDescent="0.25">
      <c r="B43" s="113"/>
      <c r="C43" s="113"/>
      <c r="D43" s="113"/>
    </row>
    <row r="44" spans="2:14" ht="16.5" thickBot="1" x14ac:dyDescent="0.3">
      <c r="B44" s="611"/>
      <c r="C44" s="218">
        <f>SUM(C31:C43)</f>
        <v>20842391.66</v>
      </c>
    </row>
    <row r="45" spans="2:14" ht="16.5" thickTop="1" x14ac:dyDescent="0.25"/>
  </sheetData>
  <phoneticPr fontId="59" type="noConversion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4:AO107"/>
  <sheetViews>
    <sheetView view="pageBreakPreview" topLeftCell="A69" zoomScale="70" zoomScaleNormal="100" zoomScaleSheetLayoutView="70" workbookViewId="0">
      <selection activeCell="E21" sqref="E21"/>
    </sheetView>
  </sheetViews>
  <sheetFormatPr baseColWidth="10" defaultColWidth="10.85546875" defaultRowHeight="15" x14ac:dyDescent="0.2"/>
  <cols>
    <col min="1" max="1" width="8.42578125" style="493" bestFit="1" customWidth="1"/>
    <col min="2" max="2" width="36.85546875" style="493" customWidth="1"/>
    <col min="3" max="3" width="16.7109375" style="494" bestFit="1" customWidth="1"/>
    <col min="4" max="4" width="36" bestFit="1" customWidth="1"/>
    <col min="5" max="5" width="13.5703125" bestFit="1" customWidth="1"/>
    <col min="6" max="6" width="15.140625" bestFit="1" customWidth="1"/>
    <col min="7" max="7" width="10" customWidth="1"/>
    <col min="8" max="8" width="13.28515625" bestFit="1" customWidth="1"/>
    <col min="9" max="9" width="10.140625" style="494" bestFit="1" customWidth="1"/>
    <col min="10" max="10" width="11.7109375" style="494" bestFit="1" customWidth="1"/>
    <col min="11" max="11" width="10.140625" bestFit="1" customWidth="1"/>
    <col min="12" max="12" width="9.140625" bestFit="1" customWidth="1"/>
    <col min="13" max="13" width="9.5703125" bestFit="1" customWidth="1"/>
    <col min="14" max="14" width="9.5703125" hidden="1" customWidth="1"/>
    <col min="15" max="15" width="9.140625" hidden="1" customWidth="1"/>
    <col min="16" max="16" width="10.7109375" hidden="1" customWidth="1"/>
    <col min="17" max="17" width="14.7109375" hidden="1" customWidth="1"/>
    <col min="18" max="18" width="11.7109375" hidden="1" customWidth="1"/>
    <col min="19" max="19" width="14.28515625" hidden="1" customWidth="1"/>
    <col min="20" max="20" width="13.7109375" hidden="1" customWidth="1"/>
    <col min="21" max="21" width="17.85546875" customWidth="1"/>
    <col min="22" max="22" width="13.5703125" bestFit="1" customWidth="1"/>
    <col min="23" max="23" width="2.85546875" bestFit="1" customWidth="1"/>
    <col min="25" max="25" width="1.28515625" bestFit="1" customWidth="1"/>
  </cols>
  <sheetData>
    <row r="4" spans="1:22" ht="15" customHeight="1" x14ac:dyDescent="0.2">
      <c r="B4" s="542" t="s">
        <v>624</v>
      </c>
      <c r="C4" s="495"/>
    </row>
    <row r="5" spans="1:22" ht="18.75" customHeight="1" x14ac:dyDescent="0.2">
      <c r="B5" s="496" t="s">
        <v>722</v>
      </c>
      <c r="C5" s="495"/>
    </row>
    <row r="6" spans="1:22" ht="15" customHeight="1" thickBot="1" x14ac:dyDescent="0.25">
      <c r="C6" s="495"/>
    </row>
    <row r="7" spans="1:22" ht="58.5" customHeight="1" thickBot="1" x14ac:dyDescent="0.25">
      <c r="A7" s="543" t="s">
        <v>361</v>
      </c>
      <c r="B7" s="544" t="s">
        <v>723</v>
      </c>
      <c r="C7" s="545" t="s">
        <v>625</v>
      </c>
      <c r="D7" s="545" t="s">
        <v>364</v>
      </c>
      <c r="E7" s="545" t="s">
        <v>626</v>
      </c>
      <c r="F7" s="546" t="s">
        <v>627</v>
      </c>
      <c r="G7" s="582" t="s">
        <v>724</v>
      </c>
      <c r="H7" s="547" t="s">
        <v>628</v>
      </c>
      <c r="I7" s="547" t="s">
        <v>590</v>
      </c>
      <c r="J7" s="547" t="s">
        <v>579</v>
      </c>
      <c r="K7" s="547" t="s">
        <v>580</v>
      </c>
      <c r="L7" s="547" t="s">
        <v>581</v>
      </c>
      <c r="M7" s="547" t="s">
        <v>582</v>
      </c>
      <c r="N7" s="548" t="s">
        <v>583</v>
      </c>
      <c r="O7" s="548" t="s">
        <v>584</v>
      </c>
      <c r="P7" s="548" t="s">
        <v>585</v>
      </c>
      <c r="Q7" s="548" t="s">
        <v>586</v>
      </c>
      <c r="R7" s="548" t="s">
        <v>587</v>
      </c>
      <c r="S7" s="548" t="s">
        <v>588</v>
      </c>
      <c r="T7" s="548" t="s">
        <v>725</v>
      </c>
      <c r="U7" s="547" t="s">
        <v>726</v>
      </c>
      <c r="V7" s="610" t="s">
        <v>752</v>
      </c>
    </row>
    <row r="8" spans="1:22" s="592" customFormat="1" x14ac:dyDescent="0.25">
      <c r="A8" s="583">
        <v>1</v>
      </c>
      <c r="B8" s="584" t="s">
        <v>629</v>
      </c>
      <c r="C8" s="585">
        <v>10</v>
      </c>
      <c r="D8" s="586" t="s">
        <v>630</v>
      </c>
      <c r="E8" s="587">
        <v>132000</v>
      </c>
      <c r="F8" s="588">
        <f>E8/21.67</f>
        <v>6091.3705583756337</v>
      </c>
      <c r="G8" s="589">
        <v>30</v>
      </c>
      <c r="H8" s="590">
        <f>C8+G8</f>
        <v>40</v>
      </c>
      <c r="I8" s="591">
        <v>2</v>
      </c>
      <c r="J8" s="591"/>
      <c r="K8" s="590"/>
      <c r="L8" s="590">
        <v>8</v>
      </c>
      <c r="M8" s="590"/>
      <c r="N8" s="590"/>
      <c r="O8" s="590"/>
      <c r="P8" s="590"/>
      <c r="Q8" s="590"/>
      <c r="R8" s="590"/>
      <c r="S8" s="590"/>
      <c r="T8" s="590"/>
      <c r="U8" s="590">
        <f>H8-I8-J8-K8-L8-M8-N8-O8-P8-Q8-R8-S8-T8</f>
        <v>30</v>
      </c>
      <c r="V8" s="588">
        <f t="shared" ref="V8:V71" si="0">F8*U8</f>
        <v>182741.116751269</v>
      </c>
    </row>
    <row r="9" spans="1:22" s="592" customFormat="1" x14ac:dyDescent="0.25">
      <c r="A9" s="593">
        <v>2</v>
      </c>
      <c r="B9" s="594" t="s">
        <v>803</v>
      </c>
      <c r="C9" s="595">
        <v>16</v>
      </c>
      <c r="D9" s="596" t="s">
        <v>631</v>
      </c>
      <c r="E9" s="597">
        <v>110000</v>
      </c>
      <c r="F9" s="588">
        <f t="shared" ref="F9:F54" si="1">E9/21.67</f>
        <v>5076.1421319796955</v>
      </c>
      <c r="G9" s="598">
        <v>30</v>
      </c>
      <c r="H9" s="590">
        <f t="shared" ref="H9:H72" si="2">C9+G9</f>
        <v>46</v>
      </c>
      <c r="I9" s="599"/>
      <c r="J9" s="599"/>
      <c r="K9" s="600"/>
      <c r="L9" s="600">
        <v>24</v>
      </c>
      <c r="M9" s="600"/>
      <c r="N9" s="600"/>
      <c r="O9" s="600"/>
      <c r="P9" s="600"/>
      <c r="Q9" s="600"/>
      <c r="R9" s="600"/>
      <c r="S9" s="600"/>
      <c r="T9" s="600"/>
      <c r="U9" s="590">
        <f t="shared" ref="U9:U72" si="3">H9-I9-J9-K9-L9-M9-N9-O9-P9-Q9-R9-S9-T9</f>
        <v>22</v>
      </c>
      <c r="V9" s="588">
        <f t="shared" si="0"/>
        <v>111675.1269035533</v>
      </c>
    </row>
    <row r="10" spans="1:22" s="592" customFormat="1" x14ac:dyDescent="0.25">
      <c r="A10" s="593">
        <v>3</v>
      </c>
      <c r="B10" s="594" t="s">
        <v>804</v>
      </c>
      <c r="C10" s="595">
        <v>0</v>
      </c>
      <c r="D10" s="596" t="s">
        <v>645</v>
      </c>
      <c r="E10" s="597">
        <v>28000</v>
      </c>
      <c r="F10" s="588">
        <f t="shared" si="1"/>
        <v>1292.1089063221043</v>
      </c>
      <c r="G10" s="598">
        <v>30</v>
      </c>
      <c r="H10" s="590">
        <f t="shared" si="2"/>
        <v>30</v>
      </c>
      <c r="I10" s="599"/>
      <c r="J10" s="599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590">
        <f t="shared" si="3"/>
        <v>30</v>
      </c>
      <c r="V10" s="588">
        <f t="shared" si="0"/>
        <v>38763.267189663129</v>
      </c>
    </row>
    <row r="11" spans="1:22" s="592" customFormat="1" x14ac:dyDescent="0.25">
      <c r="A11" s="583">
        <v>4</v>
      </c>
      <c r="B11" s="601" t="s">
        <v>632</v>
      </c>
      <c r="C11" s="595">
        <v>0</v>
      </c>
      <c r="D11" s="596" t="s">
        <v>633</v>
      </c>
      <c r="E11" s="597">
        <v>120000</v>
      </c>
      <c r="F11" s="588">
        <f t="shared" si="1"/>
        <v>5537.6095985233032</v>
      </c>
      <c r="G11" s="598">
        <v>25</v>
      </c>
      <c r="H11" s="590">
        <f t="shared" si="2"/>
        <v>25</v>
      </c>
      <c r="I11" s="599"/>
      <c r="J11" s="599">
        <v>5</v>
      </c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590">
        <f t="shared" si="3"/>
        <v>20</v>
      </c>
      <c r="V11" s="588">
        <f t="shared" si="0"/>
        <v>110752.19197046607</v>
      </c>
    </row>
    <row r="12" spans="1:22" s="592" customFormat="1" x14ac:dyDescent="0.25">
      <c r="A12" s="593">
        <v>5</v>
      </c>
      <c r="B12" s="601" t="s">
        <v>805</v>
      </c>
      <c r="C12" s="595">
        <v>4</v>
      </c>
      <c r="D12" s="596" t="s">
        <v>634</v>
      </c>
      <c r="E12" s="597">
        <v>66000</v>
      </c>
      <c r="F12" s="588">
        <f t="shared" si="1"/>
        <v>3045.6852791878168</v>
      </c>
      <c r="G12" s="598">
        <v>20</v>
      </c>
      <c r="H12" s="590">
        <f t="shared" si="2"/>
        <v>24</v>
      </c>
      <c r="I12" s="599">
        <v>3</v>
      </c>
      <c r="J12" s="599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590">
        <f t="shared" si="3"/>
        <v>21</v>
      </c>
      <c r="V12" s="588">
        <f t="shared" si="0"/>
        <v>63959.39086294415</v>
      </c>
    </row>
    <row r="13" spans="1:22" s="592" customFormat="1" x14ac:dyDescent="0.25">
      <c r="A13" s="593">
        <v>6</v>
      </c>
      <c r="B13" s="594" t="s">
        <v>635</v>
      </c>
      <c r="C13" s="595">
        <v>15</v>
      </c>
      <c r="D13" s="596" t="s">
        <v>646</v>
      </c>
      <c r="E13" s="597">
        <v>110000</v>
      </c>
      <c r="F13" s="588">
        <f t="shared" si="1"/>
        <v>5076.1421319796955</v>
      </c>
      <c r="G13" s="598">
        <v>15</v>
      </c>
      <c r="H13" s="590">
        <f t="shared" si="2"/>
        <v>30</v>
      </c>
      <c r="I13" s="599"/>
      <c r="J13" s="599"/>
      <c r="K13" s="600"/>
      <c r="L13" s="600">
        <v>10</v>
      </c>
      <c r="M13" s="600"/>
      <c r="N13" s="600"/>
      <c r="O13" s="600"/>
      <c r="P13" s="600"/>
      <c r="Q13" s="600"/>
      <c r="R13" s="600"/>
      <c r="S13" s="600"/>
      <c r="T13" s="600"/>
      <c r="U13" s="590">
        <f t="shared" si="3"/>
        <v>20</v>
      </c>
      <c r="V13" s="588">
        <f t="shared" si="0"/>
        <v>101522.8426395939</v>
      </c>
    </row>
    <row r="14" spans="1:22" s="592" customFormat="1" x14ac:dyDescent="0.25">
      <c r="A14" s="583">
        <v>7</v>
      </c>
      <c r="B14" s="594" t="s">
        <v>636</v>
      </c>
      <c r="C14" s="595">
        <v>25</v>
      </c>
      <c r="D14" s="596" t="s">
        <v>371</v>
      </c>
      <c r="E14" s="597">
        <v>132000</v>
      </c>
      <c r="F14" s="588">
        <f t="shared" si="1"/>
        <v>6091.3705583756337</v>
      </c>
      <c r="G14" s="598">
        <v>30</v>
      </c>
      <c r="H14" s="590">
        <f t="shared" si="2"/>
        <v>55</v>
      </c>
      <c r="I14" s="599"/>
      <c r="J14" s="599"/>
      <c r="K14" s="600">
        <v>5</v>
      </c>
      <c r="L14" s="600"/>
      <c r="M14" s="600">
        <v>10</v>
      </c>
      <c r="N14" s="600"/>
      <c r="O14" s="600"/>
      <c r="P14" s="600"/>
      <c r="Q14" s="600"/>
      <c r="R14" s="600"/>
      <c r="S14" s="600"/>
      <c r="T14" s="600"/>
      <c r="U14" s="590">
        <f t="shared" si="3"/>
        <v>40</v>
      </c>
      <c r="V14" s="588">
        <f t="shared" si="0"/>
        <v>243654.82233502535</v>
      </c>
    </row>
    <row r="15" spans="1:22" s="592" customFormat="1" x14ac:dyDescent="0.25">
      <c r="A15" s="593">
        <v>8</v>
      </c>
      <c r="B15" s="594" t="s">
        <v>637</v>
      </c>
      <c r="C15" s="595">
        <v>14</v>
      </c>
      <c r="D15" s="596" t="s">
        <v>638</v>
      </c>
      <c r="E15" s="597">
        <v>24000</v>
      </c>
      <c r="F15" s="588">
        <f t="shared" si="1"/>
        <v>1107.5219197046608</v>
      </c>
      <c r="G15" s="598">
        <v>30</v>
      </c>
      <c r="H15" s="590">
        <f t="shared" si="2"/>
        <v>44</v>
      </c>
      <c r="I15" s="599"/>
      <c r="J15" s="599">
        <v>10</v>
      </c>
      <c r="K15" s="600"/>
      <c r="L15" s="600"/>
      <c r="M15" s="600">
        <v>29</v>
      </c>
      <c r="N15" s="600"/>
      <c r="O15" s="600"/>
      <c r="P15" s="600"/>
      <c r="Q15" s="600"/>
      <c r="R15" s="600"/>
      <c r="S15" s="600"/>
      <c r="T15" s="600"/>
      <c r="U15" s="590">
        <f t="shared" si="3"/>
        <v>5</v>
      </c>
      <c r="V15" s="588">
        <f t="shared" si="0"/>
        <v>5537.6095985233042</v>
      </c>
    </row>
    <row r="16" spans="1:22" s="592" customFormat="1" x14ac:dyDescent="0.25">
      <c r="A16" s="593">
        <v>9</v>
      </c>
      <c r="B16" s="601" t="s">
        <v>806</v>
      </c>
      <c r="C16" s="595">
        <v>0</v>
      </c>
      <c r="D16" s="596" t="s">
        <v>634</v>
      </c>
      <c r="E16" s="597">
        <v>66000</v>
      </c>
      <c r="F16" s="588">
        <f t="shared" si="1"/>
        <v>3045.6852791878168</v>
      </c>
      <c r="G16" s="598">
        <v>20</v>
      </c>
      <c r="H16" s="590">
        <f t="shared" si="2"/>
        <v>20</v>
      </c>
      <c r="I16" s="599"/>
      <c r="J16" s="599">
        <v>6</v>
      </c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590">
        <f t="shared" si="3"/>
        <v>14</v>
      </c>
      <c r="V16" s="588">
        <f t="shared" si="0"/>
        <v>42639.593908629438</v>
      </c>
    </row>
    <row r="17" spans="1:22" s="592" customFormat="1" x14ac:dyDescent="0.25">
      <c r="A17" s="583">
        <v>10</v>
      </c>
      <c r="B17" s="594" t="s">
        <v>639</v>
      </c>
      <c r="C17" s="595">
        <v>0</v>
      </c>
      <c r="D17" s="596" t="s">
        <v>371</v>
      </c>
      <c r="E17" s="597">
        <v>132000</v>
      </c>
      <c r="F17" s="588">
        <f t="shared" si="1"/>
        <v>6091.3705583756337</v>
      </c>
      <c r="G17" s="598">
        <v>25</v>
      </c>
      <c r="H17" s="590">
        <f t="shared" si="2"/>
        <v>25</v>
      </c>
      <c r="I17" s="599"/>
      <c r="J17" s="599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590">
        <f t="shared" si="3"/>
        <v>25</v>
      </c>
      <c r="V17" s="588">
        <f t="shared" si="0"/>
        <v>152284.26395939084</v>
      </c>
    </row>
    <row r="18" spans="1:22" s="592" customFormat="1" x14ac:dyDescent="0.25">
      <c r="A18" s="593">
        <v>11</v>
      </c>
      <c r="B18" s="602" t="s">
        <v>640</v>
      </c>
      <c r="C18" s="595">
        <v>0</v>
      </c>
      <c r="D18" s="596" t="s">
        <v>638</v>
      </c>
      <c r="E18" s="597">
        <v>22000</v>
      </c>
      <c r="F18" s="588">
        <f t="shared" si="1"/>
        <v>1015.228426395939</v>
      </c>
      <c r="G18" s="598">
        <v>15</v>
      </c>
      <c r="H18" s="590">
        <f t="shared" si="2"/>
        <v>15</v>
      </c>
      <c r="I18" s="599"/>
      <c r="J18" s="599"/>
      <c r="K18" s="600"/>
      <c r="L18" s="600">
        <v>15</v>
      </c>
      <c r="M18" s="600"/>
      <c r="N18" s="600"/>
      <c r="O18" s="600"/>
      <c r="P18" s="600"/>
      <c r="Q18" s="600"/>
      <c r="R18" s="600"/>
      <c r="S18" s="600"/>
      <c r="T18" s="600"/>
      <c r="U18" s="590">
        <f t="shared" si="3"/>
        <v>0</v>
      </c>
      <c r="V18" s="588">
        <f t="shared" si="0"/>
        <v>0</v>
      </c>
    </row>
    <row r="19" spans="1:22" s="592" customFormat="1" x14ac:dyDescent="0.25">
      <c r="A19" s="593">
        <v>12</v>
      </c>
      <c r="B19" s="601" t="s">
        <v>641</v>
      </c>
      <c r="C19" s="595">
        <v>10</v>
      </c>
      <c r="D19" s="596" t="s">
        <v>642</v>
      </c>
      <c r="E19" s="597">
        <v>95000</v>
      </c>
      <c r="F19" s="588">
        <f t="shared" si="1"/>
        <v>4383.9409321642825</v>
      </c>
      <c r="G19" s="598">
        <v>15</v>
      </c>
      <c r="H19" s="590">
        <f t="shared" si="2"/>
        <v>25</v>
      </c>
      <c r="I19" s="599"/>
      <c r="J19" s="599"/>
      <c r="K19" s="600"/>
      <c r="L19" s="600">
        <v>15</v>
      </c>
      <c r="M19" s="600"/>
      <c r="N19" s="600"/>
      <c r="O19" s="600"/>
      <c r="P19" s="600"/>
      <c r="Q19" s="600"/>
      <c r="R19" s="600"/>
      <c r="S19" s="600"/>
      <c r="T19" s="600"/>
      <c r="U19" s="590">
        <f t="shared" si="3"/>
        <v>10</v>
      </c>
      <c r="V19" s="588">
        <f t="shared" si="0"/>
        <v>43839.409321642823</v>
      </c>
    </row>
    <row r="20" spans="1:22" s="592" customFormat="1" x14ac:dyDescent="0.25">
      <c r="A20" s="583">
        <v>13</v>
      </c>
      <c r="B20" s="594" t="s">
        <v>807</v>
      </c>
      <c r="C20" s="595">
        <v>7</v>
      </c>
      <c r="D20" s="596" t="s">
        <v>634</v>
      </c>
      <c r="E20" s="597">
        <v>66000</v>
      </c>
      <c r="F20" s="588">
        <f t="shared" si="1"/>
        <v>3045.6852791878168</v>
      </c>
      <c r="G20" s="598">
        <v>15</v>
      </c>
      <c r="H20" s="590">
        <f t="shared" si="2"/>
        <v>22</v>
      </c>
      <c r="I20" s="599"/>
      <c r="J20" s="599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590">
        <f t="shared" si="3"/>
        <v>22</v>
      </c>
      <c r="V20" s="588">
        <f t="shared" si="0"/>
        <v>67005.076142131977</v>
      </c>
    </row>
    <row r="21" spans="1:22" s="592" customFormat="1" x14ac:dyDescent="0.25">
      <c r="A21" s="593">
        <v>14</v>
      </c>
      <c r="B21" s="594" t="s">
        <v>643</v>
      </c>
      <c r="C21" s="595">
        <v>25</v>
      </c>
      <c r="D21" s="596" t="s">
        <v>634</v>
      </c>
      <c r="E21" s="597">
        <v>85000</v>
      </c>
      <c r="F21" s="588">
        <f t="shared" si="1"/>
        <v>3922.4734656206733</v>
      </c>
      <c r="G21" s="598">
        <v>30</v>
      </c>
      <c r="H21" s="590">
        <f t="shared" si="2"/>
        <v>55</v>
      </c>
      <c r="I21" s="599"/>
      <c r="J21" s="599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590">
        <f t="shared" si="3"/>
        <v>55</v>
      </c>
      <c r="V21" s="588">
        <f t="shared" si="0"/>
        <v>215736.04060913704</v>
      </c>
    </row>
    <row r="22" spans="1:22" s="592" customFormat="1" x14ac:dyDescent="0.25">
      <c r="A22" s="593">
        <v>15</v>
      </c>
      <c r="B22" s="594" t="s">
        <v>644</v>
      </c>
      <c r="C22" s="595">
        <v>0</v>
      </c>
      <c r="D22" s="596" t="s">
        <v>645</v>
      </c>
      <c r="E22" s="597">
        <v>27500</v>
      </c>
      <c r="F22" s="588">
        <f t="shared" si="1"/>
        <v>1269.0355329949239</v>
      </c>
      <c r="G22" s="598">
        <v>15</v>
      </c>
      <c r="H22" s="590">
        <f t="shared" si="2"/>
        <v>15</v>
      </c>
      <c r="I22" s="599"/>
      <c r="J22" s="599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590">
        <f t="shared" si="3"/>
        <v>15</v>
      </c>
      <c r="V22" s="588">
        <f t="shared" si="0"/>
        <v>19035.532994923858</v>
      </c>
    </row>
    <row r="23" spans="1:22" s="592" customFormat="1" x14ac:dyDescent="0.25">
      <c r="A23" s="583">
        <v>16</v>
      </c>
      <c r="B23" s="594" t="s">
        <v>808</v>
      </c>
      <c r="C23" s="595">
        <v>20</v>
      </c>
      <c r="D23" s="596" t="s">
        <v>646</v>
      </c>
      <c r="E23" s="597">
        <v>110000</v>
      </c>
      <c r="F23" s="588">
        <f t="shared" si="1"/>
        <v>5076.1421319796955</v>
      </c>
      <c r="G23" s="598">
        <v>20</v>
      </c>
      <c r="H23" s="590">
        <f t="shared" si="2"/>
        <v>40</v>
      </c>
      <c r="I23" s="599"/>
      <c r="J23" s="599"/>
      <c r="K23" s="600">
        <v>3</v>
      </c>
      <c r="L23" s="600">
        <v>5</v>
      </c>
      <c r="M23" s="600"/>
      <c r="N23" s="600"/>
      <c r="O23" s="600"/>
      <c r="P23" s="600"/>
      <c r="Q23" s="600"/>
      <c r="R23" s="600"/>
      <c r="S23" s="600"/>
      <c r="T23" s="600"/>
      <c r="U23" s="590">
        <f t="shared" si="3"/>
        <v>32</v>
      </c>
      <c r="V23" s="588">
        <f t="shared" si="0"/>
        <v>162436.54822335026</v>
      </c>
    </row>
    <row r="24" spans="1:22" s="592" customFormat="1" x14ac:dyDescent="0.25">
      <c r="A24" s="593">
        <v>17</v>
      </c>
      <c r="B24" s="594" t="s">
        <v>809</v>
      </c>
      <c r="C24" s="595">
        <v>0</v>
      </c>
      <c r="D24" s="596" t="s">
        <v>897</v>
      </c>
      <c r="E24" s="597">
        <v>110000</v>
      </c>
      <c r="F24" s="588">
        <f t="shared" si="1"/>
        <v>5076.1421319796955</v>
      </c>
      <c r="G24" s="598">
        <v>30</v>
      </c>
      <c r="H24" s="590">
        <f t="shared" si="2"/>
        <v>30</v>
      </c>
      <c r="I24" s="599"/>
      <c r="J24" s="599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590">
        <f t="shared" si="3"/>
        <v>30</v>
      </c>
      <c r="V24" s="588">
        <f t="shared" si="0"/>
        <v>152284.26395939087</v>
      </c>
    </row>
    <row r="25" spans="1:22" s="592" customFormat="1" x14ac:dyDescent="0.25">
      <c r="A25" s="593">
        <v>18</v>
      </c>
      <c r="B25" s="594" t="s">
        <v>810</v>
      </c>
      <c r="C25" s="595">
        <v>4</v>
      </c>
      <c r="D25" s="596" t="s">
        <v>647</v>
      </c>
      <c r="E25" s="597">
        <v>33000</v>
      </c>
      <c r="F25" s="588">
        <f t="shared" si="1"/>
        <v>1522.8426395939084</v>
      </c>
      <c r="G25" s="598">
        <v>15</v>
      </c>
      <c r="H25" s="590">
        <f t="shared" si="2"/>
        <v>19</v>
      </c>
      <c r="I25" s="599"/>
      <c r="J25" s="599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590">
        <f t="shared" si="3"/>
        <v>19</v>
      </c>
      <c r="V25" s="588">
        <f t="shared" si="0"/>
        <v>28934.01015228426</v>
      </c>
    </row>
    <row r="26" spans="1:22" s="592" customFormat="1" x14ac:dyDescent="0.25">
      <c r="A26" s="583">
        <v>19</v>
      </c>
      <c r="B26" s="601" t="s">
        <v>648</v>
      </c>
      <c r="C26" s="595">
        <v>20</v>
      </c>
      <c r="D26" s="596" t="s">
        <v>649</v>
      </c>
      <c r="E26" s="597">
        <v>49500</v>
      </c>
      <c r="F26" s="588">
        <f t="shared" si="1"/>
        <v>2284.263959390863</v>
      </c>
      <c r="G26" s="598">
        <v>25</v>
      </c>
      <c r="H26" s="590">
        <f t="shared" si="2"/>
        <v>45</v>
      </c>
      <c r="I26" s="599"/>
      <c r="J26" s="599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590">
        <f t="shared" si="3"/>
        <v>45</v>
      </c>
      <c r="V26" s="588">
        <f t="shared" si="0"/>
        <v>102791.87817258884</v>
      </c>
    </row>
    <row r="27" spans="1:22" s="592" customFormat="1" x14ac:dyDescent="0.25">
      <c r="A27" s="593">
        <v>20</v>
      </c>
      <c r="B27" s="594" t="s">
        <v>811</v>
      </c>
      <c r="C27" s="595">
        <v>0</v>
      </c>
      <c r="D27" s="596" t="s">
        <v>645</v>
      </c>
      <c r="E27" s="597">
        <v>31500</v>
      </c>
      <c r="F27" s="588">
        <f t="shared" si="1"/>
        <v>1453.6225196123671</v>
      </c>
      <c r="G27" s="598">
        <v>30</v>
      </c>
      <c r="H27" s="590">
        <f t="shared" si="2"/>
        <v>30</v>
      </c>
      <c r="I27" s="599"/>
      <c r="J27" s="599">
        <v>15</v>
      </c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590">
        <f t="shared" si="3"/>
        <v>15</v>
      </c>
      <c r="V27" s="588">
        <f t="shared" si="0"/>
        <v>21804.337794185507</v>
      </c>
    </row>
    <row r="28" spans="1:22" s="592" customFormat="1" x14ac:dyDescent="0.25">
      <c r="A28" s="593">
        <v>21</v>
      </c>
      <c r="B28" s="594" t="s">
        <v>650</v>
      </c>
      <c r="C28" s="595">
        <v>24</v>
      </c>
      <c r="D28" s="596" t="s">
        <v>651</v>
      </c>
      <c r="E28" s="597">
        <v>120000</v>
      </c>
      <c r="F28" s="588">
        <f t="shared" si="1"/>
        <v>5537.6095985233032</v>
      </c>
      <c r="G28" s="598">
        <v>30</v>
      </c>
      <c r="H28" s="590">
        <f t="shared" si="2"/>
        <v>54</v>
      </c>
      <c r="I28" s="599"/>
      <c r="J28" s="599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590">
        <f t="shared" si="3"/>
        <v>54</v>
      </c>
      <c r="V28" s="588">
        <f t="shared" si="0"/>
        <v>299030.91832025838</v>
      </c>
    </row>
    <row r="29" spans="1:22" s="592" customFormat="1" x14ac:dyDescent="0.25">
      <c r="A29" s="583">
        <v>22</v>
      </c>
      <c r="B29" s="594" t="s">
        <v>652</v>
      </c>
      <c r="C29" s="595">
        <v>0</v>
      </c>
      <c r="D29" s="596" t="s">
        <v>647</v>
      </c>
      <c r="E29" s="597">
        <v>33000</v>
      </c>
      <c r="F29" s="588">
        <f t="shared" si="1"/>
        <v>1522.8426395939084</v>
      </c>
      <c r="G29" s="598">
        <v>20</v>
      </c>
      <c r="H29" s="590">
        <f t="shared" si="2"/>
        <v>20</v>
      </c>
      <c r="I29" s="599"/>
      <c r="J29" s="599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590">
        <f t="shared" si="3"/>
        <v>20</v>
      </c>
      <c r="V29" s="588">
        <f t="shared" si="0"/>
        <v>30456.852791878169</v>
      </c>
    </row>
    <row r="30" spans="1:22" s="592" customFormat="1" x14ac:dyDescent="0.25">
      <c r="A30" s="593">
        <v>23</v>
      </c>
      <c r="B30" s="594" t="s">
        <v>653</v>
      </c>
      <c r="C30" s="595">
        <v>18</v>
      </c>
      <c r="D30" s="596" t="s">
        <v>654</v>
      </c>
      <c r="E30" s="597">
        <v>110000</v>
      </c>
      <c r="F30" s="588">
        <f t="shared" si="1"/>
        <v>5076.1421319796955</v>
      </c>
      <c r="G30" s="598">
        <v>25</v>
      </c>
      <c r="H30" s="590">
        <f t="shared" si="2"/>
        <v>43</v>
      </c>
      <c r="I30" s="599"/>
      <c r="J30" s="599">
        <v>8</v>
      </c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590">
        <f t="shared" si="3"/>
        <v>35</v>
      </c>
      <c r="V30" s="588">
        <f t="shared" si="0"/>
        <v>177664.97461928934</v>
      </c>
    </row>
    <row r="31" spans="1:22" s="592" customFormat="1" x14ac:dyDescent="0.25">
      <c r="A31" s="593">
        <v>24</v>
      </c>
      <c r="B31" s="594" t="s">
        <v>655</v>
      </c>
      <c r="C31" s="595">
        <v>15</v>
      </c>
      <c r="D31" s="596" t="s">
        <v>656</v>
      </c>
      <c r="E31" s="597">
        <v>100000</v>
      </c>
      <c r="F31" s="588">
        <f t="shared" si="1"/>
        <v>4614.6746654360868</v>
      </c>
      <c r="G31" s="598">
        <v>25</v>
      </c>
      <c r="H31" s="590">
        <f t="shared" si="2"/>
        <v>40</v>
      </c>
      <c r="I31" s="599">
        <v>15</v>
      </c>
      <c r="J31" s="599"/>
      <c r="K31" s="600"/>
      <c r="L31" s="600">
        <v>10</v>
      </c>
      <c r="M31" s="600"/>
      <c r="N31" s="600"/>
      <c r="O31" s="600"/>
      <c r="P31" s="600"/>
      <c r="Q31" s="600"/>
      <c r="R31" s="600"/>
      <c r="S31" s="600"/>
      <c r="T31" s="600"/>
      <c r="U31" s="590">
        <f t="shared" si="3"/>
        <v>15</v>
      </c>
      <c r="V31" s="588">
        <f t="shared" si="0"/>
        <v>69220.119981541298</v>
      </c>
    </row>
    <row r="32" spans="1:22" s="592" customFormat="1" x14ac:dyDescent="0.25">
      <c r="A32" s="583">
        <v>25</v>
      </c>
      <c r="B32" s="594" t="s">
        <v>812</v>
      </c>
      <c r="C32" s="595">
        <v>10</v>
      </c>
      <c r="D32" s="596" t="s">
        <v>638</v>
      </c>
      <c r="E32" s="597">
        <v>24000</v>
      </c>
      <c r="F32" s="588">
        <f t="shared" si="1"/>
        <v>1107.5219197046608</v>
      </c>
      <c r="G32" s="598">
        <v>30</v>
      </c>
      <c r="H32" s="590">
        <f t="shared" si="2"/>
        <v>40</v>
      </c>
      <c r="I32" s="599"/>
      <c r="J32" s="599"/>
      <c r="K32" s="600"/>
      <c r="L32" s="600">
        <v>1</v>
      </c>
      <c r="M32" s="600">
        <v>1</v>
      </c>
      <c r="N32" s="600"/>
      <c r="O32" s="600"/>
      <c r="P32" s="600"/>
      <c r="Q32" s="600"/>
      <c r="R32" s="600"/>
      <c r="S32" s="600"/>
      <c r="T32" s="600"/>
      <c r="U32" s="590">
        <f t="shared" si="3"/>
        <v>38</v>
      </c>
      <c r="V32" s="588">
        <f t="shared" si="0"/>
        <v>42085.832948777112</v>
      </c>
    </row>
    <row r="33" spans="1:22" s="592" customFormat="1" x14ac:dyDescent="0.25">
      <c r="A33" s="593">
        <v>26</v>
      </c>
      <c r="B33" s="594" t="s">
        <v>657</v>
      </c>
      <c r="C33" s="595">
        <v>12</v>
      </c>
      <c r="D33" s="596" t="s">
        <v>630</v>
      </c>
      <c r="E33" s="597">
        <v>132000</v>
      </c>
      <c r="F33" s="588">
        <f t="shared" si="1"/>
        <v>6091.3705583756337</v>
      </c>
      <c r="G33" s="598">
        <v>30</v>
      </c>
      <c r="H33" s="590">
        <f t="shared" si="2"/>
        <v>42</v>
      </c>
      <c r="I33" s="599"/>
      <c r="J33" s="599">
        <v>13</v>
      </c>
      <c r="K33" s="600"/>
      <c r="L33" s="600"/>
      <c r="M33" s="600">
        <v>11</v>
      </c>
      <c r="N33" s="600"/>
      <c r="O33" s="600"/>
      <c r="P33" s="600"/>
      <c r="Q33" s="600"/>
      <c r="R33" s="600"/>
      <c r="S33" s="600"/>
      <c r="T33" s="600"/>
      <c r="U33" s="590">
        <f t="shared" si="3"/>
        <v>18</v>
      </c>
      <c r="V33" s="588">
        <f t="shared" si="0"/>
        <v>109644.6700507614</v>
      </c>
    </row>
    <row r="34" spans="1:22" s="592" customFormat="1" x14ac:dyDescent="0.25">
      <c r="A34" s="593">
        <v>27</v>
      </c>
      <c r="B34" s="601" t="s">
        <v>658</v>
      </c>
      <c r="C34" s="595">
        <v>3</v>
      </c>
      <c r="D34" s="596" t="s">
        <v>371</v>
      </c>
      <c r="E34" s="597">
        <v>132000</v>
      </c>
      <c r="F34" s="588">
        <f t="shared" si="1"/>
        <v>6091.3705583756337</v>
      </c>
      <c r="G34" s="598">
        <v>20</v>
      </c>
      <c r="H34" s="590">
        <f t="shared" si="2"/>
        <v>23</v>
      </c>
      <c r="I34" s="599">
        <v>3</v>
      </c>
      <c r="J34" s="599"/>
      <c r="K34" s="600"/>
      <c r="L34" s="600">
        <v>4</v>
      </c>
      <c r="M34" s="600">
        <v>4</v>
      </c>
      <c r="N34" s="600"/>
      <c r="O34" s="600"/>
      <c r="P34" s="600"/>
      <c r="Q34" s="600"/>
      <c r="R34" s="600"/>
      <c r="S34" s="600"/>
      <c r="T34" s="600"/>
      <c r="U34" s="590">
        <f t="shared" si="3"/>
        <v>12</v>
      </c>
      <c r="V34" s="588">
        <f t="shared" si="0"/>
        <v>73096.4467005076</v>
      </c>
    </row>
    <row r="35" spans="1:22" s="592" customFormat="1" x14ac:dyDescent="0.25">
      <c r="A35" s="583">
        <v>28</v>
      </c>
      <c r="B35" s="594" t="s">
        <v>659</v>
      </c>
      <c r="C35" s="595">
        <v>15</v>
      </c>
      <c r="D35" s="596" t="s">
        <v>645</v>
      </c>
      <c r="E35" s="597">
        <v>27500</v>
      </c>
      <c r="F35" s="588">
        <f t="shared" si="1"/>
        <v>1269.0355329949239</v>
      </c>
      <c r="G35" s="598">
        <v>15</v>
      </c>
      <c r="H35" s="590">
        <f t="shared" si="2"/>
        <v>30</v>
      </c>
      <c r="I35" s="599">
        <v>5</v>
      </c>
      <c r="J35" s="599"/>
      <c r="K35" s="600"/>
      <c r="L35" s="600"/>
      <c r="M35" s="600"/>
      <c r="N35" s="600"/>
      <c r="O35" s="600"/>
      <c r="P35" s="600"/>
      <c r="Q35" s="600"/>
      <c r="R35" s="600"/>
      <c r="S35" s="600"/>
      <c r="T35" s="600"/>
      <c r="U35" s="590">
        <f t="shared" si="3"/>
        <v>25</v>
      </c>
      <c r="V35" s="588">
        <f t="shared" si="0"/>
        <v>31725.888324873096</v>
      </c>
    </row>
    <row r="36" spans="1:22" s="592" customFormat="1" x14ac:dyDescent="0.25">
      <c r="A36" s="593">
        <v>29</v>
      </c>
      <c r="B36" s="594" t="s">
        <v>813</v>
      </c>
      <c r="C36" s="595">
        <v>4</v>
      </c>
      <c r="D36" s="596" t="s">
        <v>660</v>
      </c>
      <c r="E36" s="597">
        <v>49500</v>
      </c>
      <c r="F36" s="588">
        <f t="shared" si="1"/>
        <v>2284.263959390863</v>
      </c>
      <c r="G36" s="598">
        <v>30</v>
      </c>
      <c r="H36" s="590">
        <f t="shared" si="2"/>
        <v>34</v>
      </c>
      <c r="I36" s="599"/>
      <c r="J36" s="599">
        <v>5</v>
      </c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590">
        <f t="shared" si="3"/>
        <v>29</v>
      </c>
      <c r="V36" s="588">
        <f t="shared" si="0"/>
        <v>66243.654822335026</v>
      </c>
    </row>
    <row r="37" spans="1:22" s="592" customFormat="1" x14ac:dyDescent="0.25">
      <c r="A37" s="593">
        <v>30</v>
      </c>
      <c r="B37" s="602" t="s">
        <v>814</v>
      </c>
      <c r="C37" s="595">
        <v>3</v>
      </c>
      <c r="D37" s="596" t="s">
        <v>646</v>
      </c>
      <c r="E37" s="597">
        <v>115000</v>
      </c>
      <c r="F37" s="588">
        <f t="shared" si="1"/>
        <v>5306.8758652514989</v>
      </c>
      <c r="G37" s="598">
        <v>15</v>
      </c>
      <c r="H37" s="590">
        <f t="shared" si="2"/>
        <v>18</v>
      </c>
      <c r="I37" s="599"/>
      <c r="J37" s="599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590">
        <f t="shared" si="3"/>
        <v>18</v>
      </c>
      <c r="V37" s="588">
        <f t="shared" si="0"/>
        <v>95523.765574526973</v>
      </c>
    </row>
    <row r="38" spans="1:22" s="592" customFormat="1" x14ac:dyDescent="0.25">
      <c r="A38" s="583">
        <v>31</v>
      </c>
      <c r="B38" s="594" t="s">
        <v>661</v>
      </c>
      <c r="C38" s="595">
        <v>14</v>
      </c>
      <c r="D38" s="596" t="s">
        <v>662</v>
      </c>
      <c r="E38" s="597">
        <v>22000</v>
      </c>
      <c r="F38" s="588">
        <f t="shared" si="1"/>
        <v>1015.228426395939</v>
      </c>
      <c r="G38" s="598">
        <v>15</v>
      </c>
      <c r="H38" s="590">
        <f t="shared" si="2"/>
        <v>29</v>
      </c>
      <c r="I38" s="599">
        <v>29</v>
      </c>
      <c r="J38" s="599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590">
        <f t="shared" si="3"/>
        <v>0</v>
      </c>
      <c r="V38" s="588">
        <f t="shared" si="0"/>
        <v>0</v>
      </c>
    </row>
    <row r="39" spans="1:22" s="592" customFormat="1" x14ac:dyDescent="0.25">
      <c r="A39" s="593">
        <v>32</v>
      </c>
      <c r="B39" s="594" t="s">
        <v>663</v>
      </c>
      <c r="C39" s="595">
        <v>2</v>
      </c>
      <c r="D39" s="596" t="s">
        <v>664</v>
      </c>
      <c r="E39" s="597">
        <v>23000</v>
      </c>
      <c r="F39" s="588">
        <f t="shared" si="1"/>
        <v>1061.3751730503</v>
      </c>
      <c r="G39" s="598">
        <v>15</v>
      </c>
      <c r="H39" s="590">
        <f t="shared" si="2"/>
        <v>17</v>
      </c>
      <c r="I39" s="599"/>
      <c r="J39" s="599"/>
      <c r="K39" s="600">
        <v>1</v>
      </c>
      <c r="L39" s="600"/>
      <c r="M39" s="600">
        <v>6</v>
      </c>
      <c r="N39" s="600"/>
      <c r="O39" s="600"/>
      <c r="P39" s="600"/>
      <c r="Q39" s="600"/>
      <c r="R39" s="600"/>
      <c r="S39" s="600"/>
      <c r="T39" s="600"/>
      <c r="U39" s="590">
        <f t="shared" si="3"/>
        <v>10</v>
      </c>
      <c r="V39" s="588">
        <f t="shared" si="0"/>
        <v>10613.751730503</v>
      </c>
    </row>
    <row r="40" spans="1:22" s="592" customFormat="1" x14ac:dyDescent="0.25">
      <c r="A40" s="593">
        <v>33</v>
      </c>
      <c r="B40" s="601" t="s">
        <v>815</v>
      </c>
      <c r="C40" s="595">
        <v>-5</v>
      </c>
      <c r="D40" s="596" t="s">
        <v>665</v>
      </c>
      <c r="E40" s="597">
        <v>66000</v>
      </c>
      <c r="F40" s="588">
        <f t="shared" si="1"/>
        <v>3045.6852791878168</v>
      </c>
      <c r="G40" s="598">
        <v>15</v>
      </c>
      <c r="H40" s="590">
        <f t="shared" si="2"/>
        <v>10</v>
      </c>
      <c r="I40" s="599"/>
      <c r="J40" s="599"/>
      <c r="K40" s="600"/>
      <c r="L40" s="600"/>
      <c r="M40" s="600"/>
      <c r="N40" s="600"/>
      <c r="O40" s="600"/>
      <c r="P40" s="600"/>
      <c r="Q40" s="600"/>
      <c r="R40" s="600"/>
      <c r="S40" s="600"/>
      <c r="T40" s="600"/>
      <c r="U40" s="590">
        <f t="shared" si="3"/>
        <v>10</v>
      </c>
      <c r="V40" s="588">
        <f t="shared" si="0"/>
        <v>30456.852791878169</v>
      </c>
    </row>
    <row r="41" spans="1:22" s="592" customFormat="1" x14ac:dyDescent="0.25">
      <c r="A41" s="583">
        <v>34</v>
      </c>
      <c r="B41" s="602" t="s">
        <v>816</v>
      </c>
      <c r="C41" s="595">
        <v>0</v>
      </c>
      <c r="D41" s="603" t="s">
        <v>638</v>
      </c>
      <c r="E41" s="597">
        <v>23650</v>
      </c>
      <c r="F41" s="588">
        <f t="shared" si="1"/>
        <v>1091.3705583756343</v>
      </c>
      <c r="G41" s="598">
        <v>30</v>
      </c>
      <c r="H41" s="590">
        <f t="shared" si="2"/>
        <v>30</v>
      </c>
      <c r="I41" s="599"/>
      <c r="J41" s="599"/>
      <c r="K41" s="600"/>
      <c r="L41" s="600"/>
      <c r="M41" s="600"/>
      <c r="N41" s="600"/>
      <c r="O41" s="600"/>
      <c r="P41" s="600"/>
      <c r="Q41" s="600"/>
      <c r="R41" s="600"/>
      <c r="S41" s="600"/>
      <c r="T41" s="600"/>
      <c r="U41" s="590">
        <f t="shared" si="3"/>
        <v>30</v>
      </c>
      <c r="V41" s="588">
        <f t="shared" si="0"/>
        <v>32741.11675126903</v>
      </c>
    </row>
    <row r="42" spans="1:22" s="592" customFormat="1" x14ac:dyDescent="0.25">
      <c r="A42" s="593">
        <v>35</v>
      </c>
      <c r="B42" s="601" t="s">
        <v>817</v>
      </c>
      <c r="C42" s="595">
        <v>15</v>
      </c>
      <c r="D42" s="603" t="s">
        <v>645</v>
      </c>
      <c r="E42" s="597">
        <v>27500</v>
      </c>
      <c r="F42" s="588">
        <f t="shared" si="1"/>
        <v>1269.0355329949239</v>
      </c>
      <c r="G42" s="598">
        <v>15</v>
      </c>
      <c r="H42" s="590">
        <f t="shared" si="2"/>
        <v>30</v>
      </c>
      <c r="I42" s="599"/>
      <c r="J42" s="599">
        <v>15</v>
      </c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590">
        <f t="shared" si="3"/>
        <v>15</v>
      </c>
      <c r="V42" s="588">
        <f t="shared" si="0"/>
        <v>19035.532994923858</v>
      </c>
    </row>
    <row r="43" spans="1:22" s="592" customFormat="1" x14ac:dyDescent="0.25">
      <c r="A43" s="593">
        <v>36</v>
      </c>
      <c r="B43" s="594" t="s">
        <v>818</v>
      </c>
      <c r="C43" s="595">
        <v>15</v>
      </c>
      <c r="D43" s="596" t="s">
        <v>666</v>
      </c>
      <c r="E43" s="597">
        <v>605000</v>
      </c>
      <c r="F43" s="588">
        <f t="shared" si="1"/>
        <v>27918.781725888322</v>
      </c>
      <c r="G43" s="598">
        <v>20</v>
      </c>
      <c r="H43" s="590">
        <f t="shared" si="2"/>
        <v>35</v>
      </c>
      <c r="I43" s="599"/>
      <c r="J43" s="599"/>
      <c r="K43" s="600">
        <v>10</v>
      </c>
      <c r="L43" s="600">
        <v>10</v>
      </c>
      <c r="M43" s="600"/>
      <c r="N43" s="600"/>
      <c r="O43" s="600"/>
      <c r="P43" s="600"/>
      <c r="Q43" s="600"/>
      <c r="R43" s="600"/>
      <c r="S43" s="600"/>
      <c r="T43" s="600"/>
      <c r="U43" s="590">
        <f t="shared" si="3"/>
        <v>15</v>
      </c>
      <c r="V43" s="588">
        <f t="shared" si="0"/>
        <v>418781.72588832484</v>
      </c>
    </row>
    <row r="44" spans="1:22" s="592" customFormat="1" x14ac:dyDescent="0.25">
      <c r="A44" s="583">
        <v>37</v>
      </c>
      <c r="B44" s="594" t="s">
        <v>667</v>
      </c>
      <c r="C44" s="595">
        <v>0</v>
      </c>
      <c r="D44" s="596" t="s">
        <v>668</v>
      </c>
      <c r="E44" s="597">
        <v>34000</v>
      </c>
      <c r="F44" s="588">
        <f t="shared" si="1"/>
        <v>1568.9893862482693</v>
      </c>
      <c r="G44" s="598">
        <v>20</v>
      </c>
      <c r="H44" s="590">
        <f t="shared" si="2"/>
        <v>20</v>
      </c>
      <c r="I44" s="599"/>
      <c r="J44" s="599"/>
      <c r="K44" s="600"/>
      <c r="L44" s="600">
        <v>16</v>
      </c>
      <c r="M44" s="600"/>
      <c r="N44" s="600"/>
      <c r="O44" s="600"/>
      <c r="P44" s="600"/>
      <c r="Q44" s="600"/>
      <c r="R44" s="600"/>
      <c r="S44" s="600"/>
      <c r="T44" s="600"/>
      <c r="U44" s="590">
        <f t="shared" si="3"/>
        <v>4</v>
      </c>
      <c r="V44" s="588">
        <f t="shared" si="0"/>
        <v>6275.9575449930771</v>
      </c>
    </row>
    <row r="45" spans="1:22" s="592" customFormat="1" x14ac:dyDescent="0.25">
      <c r="A45" s="593">
        <v>38</v>
      </c>
      <c r="B45" s="594" t="s">
        <v>819</v>
      </c>
      <c r="C45" s="595">
        <v>7</v>
      </c>
      <c r="D45" s="596" t="s">
        <v>669</v>
      </c>
      <c r="E45" s="597">
        <v>360000</v>
      </c>
      <c r="F45" s="588">
        <f t="shared" si="1"/>
        <v>16612.828795569912</v>
      </c>
      <c r="G45" s="598">
        <v>20</v>
      </c>
      <c r="H45" s="590">
        <f t="shared" si="2"/>
        <v>27</v>
      </c>
      <c r="I45" s="599">
        <v>3</v>
      </c>
      <c r="J45" s="599"/>
      <c r="K45" s="600">
        <v>5</v>
      </c>
      <c r="L45" s="600"/>
      <c r="M45" s="600"/>
      <c r="N45" s="600"/>
      <c r="O45" s="600"/>
      <c r="P45" s="600"/>
      <c r="Q45" s="600"/>
      <c r="R45" s="600"/>
      <c r="S45" s="600"/>
      <c r="T45" s="600"/>
      <c r="U45" s="590">
        <f t="shared" si="3"/>
        <v>19</v>
      </c>
      <c r="V45" s="588">
        <f t="shared" si="0"/>
        <v>315643.74711582833</v>
      </c>
    </row>
    <row r="46" spans="1:22" s="592" customFormat="1" x14ac:dyDescent="0.25">
      <c r="A46" s="593">
        <v>39</v>
      </c>
      <c r="B46" s="594" t="s">
        <v>820</v>
      </c>
      <c r="C46" s="595">
        <v>3</v>
      </c>
      <c r="D46" s="596" t="s">
        <v>645</v>
      </c>
      <c r="E46" s="597">
        <v>27500</v>
      </c>
      <c r="F46" s="588">
        <f t="shared" si="1"/>
        <v>1269.0355329949239</v>
      </c>
      <c r="G46" s="598">
        <v>15</v>
      </c>
      <c r="H46" s="590">
        <f t="shared" si="2"/>
        <v>18</v>
      </c>
      <c r="I46" s="599"/>
      <c r="J46" s="599"/>
      <c r="K46" s="600"/>
      <c r="L46" s="600">
        <v>3</v>
      </c>
      <c r="M46" s="600"/>
      <c r="N46" s="600"/>
      <c r="O46" s="600"/>
      <c r="P46" s="600"/>
      <c r="Q46" s="600"/>
      <c r="R46" s="600"/>
      <c r="S46" s="600"/>
      <c r="T46" s="600"/>
      <c r="U46" s="590">
        <f t="shared" si="3"/>
        <v>15</v>
      </c>
      <c r="V46" s="588">
        <f t="shared" si="0"/>
        <v>19035.532994923858</v>
      </c>
    </row>
    <row r="47" spans="1:22" s="592" customFormat="1" x14ac:dyDescent="0.25">
      <c r="A47" s="583">
        <v>40</v>
      </c>
      <c r="B47" s="602" t="s">
        <v>821</v>
      </c>
      <c r="C47" s="595">
        <v>3</v>
      </c>
      <c r="D47" s="596" t="s">
        <v>670</v>
      </c>
      <c r="E47" s="597">
        <v>95000</v>
      </c>
      <c r="F47" s="588">
        <f t="shared" si="1"/>
        <v>4383.9409321642825</v>
      </c>
      <c r="G47" s="598">
        <v>30</v>
      </c>
      <c r="H47" s="590">
        <f t="shared" si="2"/>
        <v>33</v>
      </c>
      <c r="I47" s="599"/>
      <c r="J47" s="599"/>
      <c r="K47" s="600"/>
      <c r="L47" s="600">
        <v>8</v>
      </c>
      <c r="M47" s="600"/>
      <c r="N47" s="600"/>
      <c r="O47" s="600"/>
      <c r="P47" s="600"/>
      <c r="Q47" s="600"/>
      <c r="R47" s="600"/>
      <c r="S47" s="600"/>
      <c r="T47" s="600"/>
      <c r="U47" s="590">
        <f t="shared" si="3"/>
        <v>25</v>
      </c>
      <c r="V47" s="588">
        <f t="shared" si="0"/>
        <v>109598.52330410706</v>
      </c>
    </row>
    <row r="48" spans="1:22" s="592" customFormat="1" x14ac:dyDescent="0.25">
      <c r="A48" s="593">
        <v>41</v>
      </c>
      <c r="B48" s="601" t="s">
        <v>671</v>
      </c>
      <c r="C48" s="595">
        <v>3</v>
      </c>
      <c r="D48" s="596" t="s">
        <v>660</v>
      </c>
      <c r="E48" s="597">
        <v>49500</v>
      </c>
      <c r="F48" s="588">
        <f t="shared" si="1"/>
        <v>2284.263959390863</v>
      </c>
      <c r="G48" s="598">
        <v>30</v>
      </c>
      <c r="H48" s="590">
        <f t="shared" si="2"/>
        <v>33</v>
      </c>
      <c r="I48" s="599"/>
      <c r="J48" s="599"/>
      <c r="K48" s="600"/>
      <c r="L48" s="600">
        <v>9</v>
      </c>
      <c r="M48" s="600"/>
      <c r="N48" s="600"/>
      <c r="O48" s="600"/>
      <c r="P48" s="600"/>
      <c r="Q48" s="600"/>
      <c r="R48" s="600"/>
      <c r="S48" s="600"/>
      <c r="T48" s="600"/>
      <c r="U48" s="590">
        <f t="shared" si="3"/>
        <v>24</v>
      </c>
      <c r="V48" s="588">
        <f t="shared" si="0"/>
        <v>54822.335025380715</v>
      </c>
    </row>
    <row r="49" spans="1:22" s="592" customFormat="1" x14ac:dyDescent="0.25">
      <c r="A49" s="593">
        <v>42</v>
      </c>
      <c r="B49" s="601" t="s">
        <v>672</v>
      </c>
      <c r="C49" s="595">
        <v>28</v>
      </c>
      <c r="D49" s="596" t="s">
        <v>673</v>
      </c>
      <c r="E49" s="597">
        <v>88000</v>
      </c>
      <c r="F49" s="588">
        <f t="shared" si="1"/>
        <v>4060.9137055837559</v>
      </c>
      <c r="G49" s="598">
        <v>30</v>
      </c>
      <c r="H49" s="590">
        <f t="shared" si="2"/>
        <v>58</v>
      </c>
      <c r="I49" s="599">
        <v>20</v>
      </c>
      <c r="J49" s="599"/>
      <c r="K49" s="600"/>
      <c r="L49" s="600"/>
      <c r="M49" s="600"/>
      <c r="N49" s="600"/>
      <c r="O49" s="600"/>
      <c r="P49" s="600"/>
      <c r="Q49" s="600"/>
      <c r="R49" s="600"/>
      <c r="S49" s="600"/>
      <c r="T49" s="600"/>
      <c r="U49" s="590">
        <f t="shared" si="3"/>
        <v>38</v>
      </c>
      <c r="V49" s="588">
        <f t="shared" si="0"/>
        <v>154314.72081218273</v>
      </c>
    </row>
    <row r="50" spans="1:22" s="592" customFormat="1" x14ac:dyDescent="0.25">
      <c r="A50" s="583">
        <v>43</v>
      </c>
      <c r="B50" s="601" t="s">
        <v>822</v>
      </c>
      <c r="C50" s="595">
        <v>15</v>
      </c>
      <c r="D50" s="596" t="s">
        <v>823</v>
      </c>
      <c r="E50" s="597">
        <v>49500</v>
      </c>
      <c r="F50" s="588">
        <f t="shared" si="1"/>
        <v>2284.263959390863</v>
      </c>
      <c r="G50" s="598">
        <v>25</v>
      </c>
      <c r="H50" s="590">
        <f t="shared" si="2"/>
        <v>40</v>
      </c>
      <c r="I50" s="599">
        <v>6</v>
      </c>
      <c r="J50" s="599"/>
      <c r="K50" s="600"/>
      <c r="L50" s="600"/>
      <c r="M50" s="600"/>
      <c r="N50" s="600"/>
      <c r="O50" s="600"/>
      <c r="P50" s="600"/>
      <c r="Q50" s="600"/>
      <c r="R50" s="600"/>
      <c r="S50" s="600"/>
      <c r="T50" s="600"/>
      <c r="U50" s="590">
        <f t="shared" si="3"/>
        <v>34</v>
      </c>
      <c r="V50" s="588">
        <f t="shared" si="0"/>
        <v>77664.974619289336</v>
      </c>
    </row>
    <row r="51" spans="1:22" s="592" customFormat="1" x14ac:dyDescent="0.25">
      <c r="A51" s="593">
        <v>44</v>
      </c>
      <c r="B51" s="602" t="s">
        <v>674</v>
      </c>
      <c r="C51" s="595">
        <v>10</v>
      </c>
      <c r="D51" s="596" t="s">
        <v>708</v>
      </c>
      <c r="E51" s="597">
        <v>220000</v>
      </c>
      <c r="F51" s="588">
        <f t="shared" si="1"/>
        <v>10152.284263959391</v>
      </c>
      <c r="G51" s="598">
        <v>20</v>
      </c>
      <c r="H51" s="590">
        <f t="shared" si="2"/>
        <v>30</v>
      </c>
      <c r="I51" s="599"/>
      <c r="J51" s="599"/>
      <c r="K51" s="600"/>
      <c r="L51" s="600"/>
      <c r="M51" s="600"/>
      <c r="N51" s="600"/>
      <c r="O51" s="600"/>
      <c r="P51" s="600"/>
      <c r="Q51" s="600"/>
      <c r="R51" s="600"/>
      <c r="S51" s="600"/>
      <c r="T51" s="600"/>
      <c r="U51" s="590">
        <f t="shared" si="3"/>
        <v>30</v>
      </c>
      <c r="V51" s="588">
        <f t="shared" si="0"/>
        <v>304568.52791878174</v>
      </c>
    </row>
    <row r="52" spans="1:22" s="592" customFormat="1" x14ac:dyDescent="0.25">
      <c r="A52" s="593">
        <v>45</v>
      </c>
      <c r="B52" s="594" t="s">
        <v>675</v>
      </c>
      <c r="C52" s="595">
        <v>0</v>
      </c>
      <c r="D52" s="596" t="s">
        <v>634</v>
      </c>
      <c r="E52" s="597">
        <v>66000</v>
      </c>
      <c r="F52" s="588">
        <f t="shared" si="1"/>
        <v>3045.6852791878168</v>
      </c>
      <c r="G52" s="598">
        <v>15</v>
      </c>
      <c r="H52" s="590">
        <f t="shared" si="2"/>
        <v>15</v>
      </c>
      <c r="I52" s="599"/>
      <c r="J52" s="599">
        <v>3</v>
      </c>
      <c r="K52" s="600"/>
      <c r="L52" s="600"/>
      <c r="M52" s="600"/>
      <c r="N52" s="600"/>
      <c r="O52" s="600"/>
      <c r="P52" s="600"/>
      <c r="Q52" s="600"/>
      <c r="R52" s="600"/>
      <c r="S52" s="600"/>
      <c r="T52" s="600"/>
      <c r="U52" s="590">
        <f t="shared" si="3"/>
        <v>12</v>
      </c>
      <c r="V52" s="588">
        <f t="shared" si="0"/>
        <v>36548.2233502538</v>
      </c>
    </row>
    <row r="53" spans="1:22" s="592" customFormat="1" x14ac:dyDescent="0.25">
      <c r="A53" s="583">
        <v>46</v>
      </c>
      <c r="B53" s="601" t="s">
        <v>676</v>
      </c>
      <c r="C53" s="595">
        <v>0</v>
      </c>
      <c r="D53" s="596" t="s">
        <v>371</v>
      </c>
      <c r="E53" s="597">
        <v>220000</v>
      </c>
      <c r="F53" s="588">
        <f t="shared" si="1"/>
        <v>10152.284263959391</v>
      </c>
      <c r="G53" s="598">
        <v>15</v>
      </c>
      <c r="H53" s="590">
        <f t="shared" si="2"/>
        <v>15</v>
      </c>
      <c r="I53" s="599"/>
      <c r="J53" s="599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590">
        <f t="shared" si="3"/>
        <v>15</v>
      </c>
      <c r="V53" s="588">
        <f t="shared" si="0"/>
        <v>152284.26395939087</v>
      </c>
    </row>
    <row r="54" spans="1:22" s="592" customFormat="1" x14ac:dyDescent="0.25">
      <c r="A54" s="593">
        <v>47</v>
      </c>
      <c r="B54" s="602" t="s">
        <v>677</v>
      </c>
      <c r="C54" s="595">
        <v>15</v>
      </c>
      <c r="D54" s="596" t="s">
        <v>371</v>
      </c>
      <c r="E54" s="597">
        <v>380000</v>
      </c>
      <c r="F54" s="588">
        <f t="shared" si="1"/>
        <v>17535.76372865713</v>
      </c>
      <c r="G54" s="598">
        <v>30</v>
      </c>
      <c r="H54" s="590">
        <f t="shared" si="2"/>
        <v>45</v>
      </c>
      <c r="I54" s="599"/>
      <c r="J54" s="599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590">
        <f t="shared" si="3"/>
        <v>45</v>
      </c>
      <c r="V54" s="588">
        <f t="shared" si="0"/>
        <v>789109.36778957082</v>
      </c>
    </row>
    <row r="55" spans="1:22" s="592" customFormat="1" x14ac:dyDescent="0.25">
      <c r="A55" s="593">
        <v>48</v>
      </c>
      <c r="B55" s="602" t="s">
        <v>824</v>
      </c>
      <c r="C55" s="595">
        <v>0</v>
      </c>
      <c r="D55" s="596" t="s">
        <v>633</v>
      </c>
      <c r="E55" s="597">
        <v>90000</v>
      </c>
      <c r="F55" s="588">
        <f>E55/21.67</f>
        <v>4153.2071988924781</v>
      </c>
      <c r="G55" s="598">
        <v>15</v>
      </c>
      <c r="H55" s="590">
        <f t="shared" si="2"/>
        <v>15</v>
      </c>
      <c r="I55" s="599"/>
      <c r="J55" s="599"/>
      <c r="K55" s="600">
        <v>2</v>
      </c>
      <c r="L55" s="600"/>
      <c r="M55" s="600"/>
      <c r="N55" s="600"/>
      <c r="O55" s="600"/>
      <c r="P55" s="600"/>
      <c r="Q55" s="600"/>
      <c r="R55" s="600"/>
      <c r="S55" s="600"/>
      <c r="T55" s="600"/>
      <c r="U55" s="590">
        <f t="shared" si="3"/>
        <v>13</v>
      </c>
      <c r="V55" s="588">
        <f t="shared" si="0"/>
        <v>53991.693585602217</v>
      </c>
    </row>
    <row r="56" spans="1:22" s="592" customFormat="1" x14ac:dyDescent="0.25">
      <c r="A56" s="583">
        <v>49</v>
      </c>
      <c r="B56" s="602" t="s">
        <v>681</v>
      </c>
      <c r="C56" s="595">
        <v>3</v>
      </c>
      <c r="D56" s="596" t="s">
        <v>823</v>
      </c>
      <c r="E56" s="597">
        <v>45000</v>
      </c>
      <c r="F56" s="588">
        <f>E56/21.67</f>
        <v>2076.6035994462391</v>
      </c>
      <c r="G56" s="598">
        <v>20</v>
      </c>
      <c r="H56" s="590">
        <f t="shared" si="2"/>
        <v>23</v>
      </c>
      <c r="I56" s="599"/>
      <c r="J56" s="599"/>
      <c r="K56" s="600"/>
      <c r="L56" s="600">
        <v>23</v>
      </c>
      <c r="M56" s="600"/>
      <c r="N56" s="600"/>
      <c r="O56" s="600"/>
      <c r="P56" s="600"/>
      <c r="Q56" s="600"/>
      <c r="R56" s="600"/>
      <c r="S56" s="600"/>
      <c r="T56" s="600"/>
      <c r="U56" s="590">
        <f t="shared" si="3"/>
        <v>0</v>
      </c>
      <c r="V56" s="588">
        <f t="shared" si="0"/>
        <v>0</v>
      </c>
    </row>
    <row r="57" spans="1:22" s="592" customFormat="1" x14ac:dyDescent="0.25">
      <c r="A57" s="593">
        <v>50</v>
      </c>
      <c r="B57" s="601" t="s">
        <v>825</v>
      </c>
      <c r="C57" s="595">
        <v>15</v>
      </c>
      <c r="D57" s="596" t="s">
        <v>678</v>
      </c>
      <c r="E57" s="597">
        <v>380000</v>
      </c>
      <c r="F57" s="588">
        <f t="shared" ref="F57:F58" si="4">E57/21.67</f>
        <v>17535.76372865713</v>
      </c>
      <c r="G57" s="598">
        <v>15</v>
      </c>
      <c r="H57" s="590">
        <f t="shared" si="2"/>
        <v>30</v>
      </c>
      <c r="I57" s="599"/>
      <c r="J57" s="599"/>
      <c r="K57" s="600"/>
      <c r="L57" s="600">
        <v>5</v>
      </c>
      <c r="M57" s="600"/>
      <c r="N57" s="600"/>
      <c r="O57" s="600"/>
      <c r="P57" s="600"/>
      <c r="Q57" s="600"/>
      <c r="R57" s="600"/>
      <c r="S57" s="600"/>
      <c r="T57" s="600"/>
      <c r="U57" s="590">
        <f t="shared" si="3"/>
        <v>25</v>
      </c>
      <c r="V57" s="588">
        <f t="shared" si="0"/>
        <v>438394.09321642824</v>
      </c>
    </row>
    <row r="58" spans="1:22" s="592" customFormat="1" x14ac:dyDescent="0.25">
      <c r="A58" s="593">
        <v>51</v>
      </c>
      <c r="B58" s="602" t="s">
        <v>679</v>
      </c>
      <c r="C58" s="595">
        <v>5</v>
      </c>
      <c r="D58" s="596" t="s">
        <v>647</v>
      </c>
      <c r="E58" s="597">
        <v>35750</v>
      </c>
      <c r="F58" s="588">
        <f t="shared" si="4"/>
        <v>1649.7461928934008</v>
      </c>
      <c r="G58" s="598">
        <v>30</v>
      </c>
      <c r="H58" s="590">
        <f t="shared" si="2"/>
        <v>35</v>
      </c>
      <c r="I58" s="599"/>
      <c r="J58" s="599"/>
      <c r="K58" s="600"/>
      <c r="L58" s="600">
        <v>10</v>
      </c>
      <c r="M58" s="600"/>
      <c r="N58" s="600"/>
      <c r="O58" s="600"/>
      <c r="P58" s="600"/>
      <c r="Q58" s="600"/>
      <c r="R58" s="600"/>
      <c r="S58" s="600"/>
      <c r="T58" s="600"/>
      <c r="U58" s="590">
        <f t="shared" si="3"/>
        <v>25</v>
      </c>
      <c r="V58" s="588">
        <f t="shared" si="0"/>
        <v>41243.654822335018</v>
      </c>
    </row>
    <row r="59" spans="1:22" s="592" customFormat="1" x14ac:dyDescent="0.25">
      <c r="A59" s="583">
        <v>52</v>
      </c>
      <c r="B59" s="594" t="s">
        <v>826</v>
      </c>
      <c r="C59" s="595">
        <v>0</v>
      </c>
      <c r="D59" s="596" t="s">
        <v>654</v>
      </c>
      <c r="E59" s="597">
        <v>110000</v>
      </c>
      <c r="F59" s="588">
        <f>E59/21.67</f>
        <v>5076.1421319796955</v>
      </c>
      <c r="G59" s="598">
        <v>15</v>
      </c>
      <c r="H59" s="590">
        <f t="shared" si="2"/>
        <v>15</v>
      </c>
      <c r="I59" s="599"/>
      <c r="J59" s="599"/>
      <c r="K59" s="600"/>
      <c r="L59" s="600">
        <v>1</v>
      </c>
      <c r="M59" s="600"/>
      <c r="N59" s="600"/>
      <c r="O59" s="600"/>
      <c r="P59" s="600"/>
      <c r="Q59" s="600"/>
      <c r="R59" s="600"/>
      <c r="S59" s="600"/>
      <c r="T59" s="600"/>
      <c r="U59" s="590">
        <f t="shared" si="3"/>
        <v>14</v>
      </c>
      <c r="V59" s="588">
        <f t="shared" si="0"/>
        <v>71065.98984771574</v>
      </c>
    </row>
    <row r="60" spans="1:22" s="592" customFormat="1" x14ac:dyDescent="0.25">
      <c r="A60" s="593">
        <v>53</v>
      </c>
      <c r="B60" s="594" t="s">
        <v>827</v>
      </c>
      <c r="C60" s="595">
        <v>0</v>
      </c>
      <c r="D60" s="596" t="s">
        <v>371</v>
      </c>
      <c r="E60" s="597">
        <v>220000</v>
      </c>
      <c r="F60" s="588">
        <f>E60/21.67</f>
        <v>10152.284263959391</v>
      </c>
      <c r="G60" s="598">
        <v>15</v>
      </c>
      <c r="H60" s="590">
        <f t="shared" si="2"/>
        <v>15</v>
      </c>
      <c r="I60" s="599">
        <v>5</v>
      </c>
      <c r="J60" s="599"/>
      <c r="K60" s="600">
        <v>5</v>
      </c>
      <c r="L60" s="600"/>
      <c r="M60" s="600"/>
      <c r="N60" s="600"/>
      <c r="O60" s="600"/>
      <c r="P60" s="600"/>
      <c r="Q60" s="600"/>
      <c r="R60" s="600"/>
      <c r="S60" s="600"/>
      <c r="T60" s="600"/>
      <c r="U60" s="590">
        <f t="shared" si="3"/>
        <v>5</v>
      </c>
      <c r="V60" s="588">
        <f t="shared" si="0"/>
        <v>50761.421319796951</v>
      </c>
    </row>
    <row r="61" spans="1:22" s="592" customFormat="1" x14ac:dyDescent="0.25">
      <c r="A61" s="593">
        <v>54</v>
      </c>
      <c r="B61" s="594" t="s">
        <v>680</v>
      </c>
      <c r="C61" s="595">
        <v>25</v>
      </c>
      <c r="D61" s="596" t="s">
        <v>630</v>
      </c>
      <c r="E61" s="597">
        <v>220000</v>
      </c>
      <c r="F61" s="588">
        <f t="shared" ref="F61:F63" si="5">E61/21.67</f>
        <v>10152.284263959391</v>
      </c>
      <c r="G61" s="598">
        <v>30</v>
      </c>
      <c r="H61" s="590">
        <f t="shared" si="2"/>
        <v>55</v>
      </c>
      <c r="I61" s="599"/>
      <c r="J61" s="599"/>
      <c r="K61" s="600"/>
      <c r="L61" s="600">
        <v>6</v>
      </c>
      <c r="M61" s="600"/>
      <c r="N61" s="600"/>
      <c r="O61" s="600"/>
      <c r="P61" s="600"/>
      <c r="Q61" s="600"/>
      <c r="R61" s="600"/>
      <c r="S61" s="600"/>
      <c r="T61" s="600"/>
      <c r="U61" s="590">
        <f t="shared" si="3"/>
        <v>49</v>
      </c>
      <c r="V61" s="588">
        <f t="shared" si="0"/>
        <v>497461.92893401015</v>
      </c>
    </row>
    <row r="62" spans="1:22" s="592" customFormat="1" x14ac:dyDescent="0.25">
      <c r="A62" s="583">
        <v>55</v>
      </c>
      <c r="B62" s="602" t="s">
        <v>682</v>
      </c>
      <c r="C62" s="604">
        <v>13</v>
      </c>
      <c r="D62" s="596" t="s">
        <v>634</v>
      </c>
      <c r="E62" s="597">
        <v>66000</v>
      </c>
      <c r="F62" s="588">
        <f t="shared" si="5"/>
        <v>3045.6852791878168</v>
      </c>
      <c r="G62" s="598">
        <v>25</v>
      </c>
      <c r="H62" s="590">
        <f t="shared" si="2"/>
        <v>38</v>
      </c>
      <c r="I62" s="599">
        <v>3</v>
      </c>
      <c r="J62" s="599"/>
      <c r="K62" s="600">
        <v>7</v>
      </c>
      <c r="L62" s="600">
        <v>2</v>
      </c>
      <c r="M62" s="600"/>
      <c r="N62" s="600"/>
      <c r="O62" s="600"/>
      <c r="P62" s="600"/>
      <c r="Q62" s="600"/>
      <c r="R62" s="600"/>
      <c r="S62" s="600"/>
      <c r="T62" s="600"/>
      <c r="U62" s="590">
        <f t="shared" si="3"/>
        <v>26</v>
      </c>
      <c r="V62" s="588">
        <f t="shared" si="0"/>
        <v>79187.817258883239</v>
      </c>
    </row>
    <row r="63" spans="1:22" s="592" customFormat="1" x14ac:dyDescent="0.25">
      <c r="A63" s="593">
        <v>56</v>
      </c>
      <c r="B63" s="594" t="s">
        <v>683</v>
      </c>
      <c r="C63" s="595">
        <v>0</v>
      </c>
      <c r="D63" s="596" t="s">
        <v>371</v>
      </c>
      <c r="E63" s="597">
        <v>132000</v>
      </c>
      <c r="F63" s="588">
        <f t="shared" si="5"/>
        <v>6091.3705583756337</v>
      </c>
      <c r="G63" s="598">
        <v>15</v>
      </c>
      <c r="H63" s="590">
        <f t="shared" si="2"/>
        <v>15</v>
      </c>
      <c r="I63" s="599">
        <v>10</v>
      </c>
      <c r="J63" s="599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590">
        <f t="shared" si="3"/>
        <v>5</v>
      </c>
      <c r="V63" s="588">
        <f t="shared" si="0"/>
        <v>30456.852791878169</v>
      </c>
    </row>
    <row r="64" spans="1:22" s="592" customFormat="1" x14ac:dyDescent="0.25">
      <c r="A64" s="593">
        <v>57</v>
      </c>
      <c r="B64" s="594" t="s">
        <v>828</v>
      </c>
      <c r="C64" s="595">
        <v>0</v>
      </c>
      <c r="D64" s="596" t="s">
        <v>829</v>
      </c>
      <c r="E64" s="597">
        <v>100000</v>
      </c>
      <c r="F64" s="588">
        <f>E64/21.67</f>
        <v>4614.6746654360868</v>
      </c>
      <c r="G64" s="598">
        <v>15</v>
      </c>
      <c r="H64" s="590">
        <f t="shared" si="2"/>
        <v>15</v>
      </c>
      <c r="I64" s="599"/>
      <c r="J64" s="599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590">
        <f t="shared" si="3"/>
        <v>15</v>
      </c>
      <c r="V64" s="588">
        <f t="shared" si="0"/>
        <v>69220.119981541298</v>
      </c>
    </row>
    <row r="65" spans="1:22" s="592" customFormat="1" x14ac:dyDescent="0.25">
      <c r="A65" s="583">
        <v>58</v>
      </c>
      <c r="B65" s="596" t="s">
        <v>684</v>
      </c>
      <c r="C65" s="595">
        <v>9</v>
      </c>
      <c r="D65" s="596" t="s">
        <v>630</v>
      </c>
      <c r="E65" s="597">
        <v>115000</v>
      </c>
      <c r="F65" s="588">
        <f>E65/21.67</f>
        <v>5306.8758652514989</v>
      </c>
      <c r="G65" s="598">
        <v>25</v>
      </c>
      <c r="H65" s="590">
        <f t="shared" si="2"/>
        <v>34</v>
      </c>
      <c r="I65" s="599"/>
      <c r="J65" s="599"/>
      <c r="K65" s="600"/>
      <c r="L65" s="600"/>
      <c r="M65" s="600">
        <v>1</v>
      </c>
      <c r="N65" s="600"/>
      <c r="O65" s="600"/>
      <c r="P65" s="600"/>
      <c r="Q65" s="600"/>
      <c r="R65" s="600"/>
      <c r="S65" s="600"/>
      <c r="T65" s="600"/>
      <c r="U65" s="590">
        <f t="shared" si="3"/>
        <v>33</v>
      </c>
      <c r="V65" s="588">
        <f t="shared" si="0"/>
        <v>175126.90355329946</v>
      </c>
    </row>
    <row r="66" spans="1:22" s="592" customFormat="1" x14ac:dyDescent="0.25">
      <c r="A66" s="593">
        <v>59</v>
      </c>
      <c r="B66" s="594" t="s">
        <v>685</v>
      </c>
      <c r="C66" s="595">
        <v>7</v>
      </c>
      <c r="D66" s="596" t="s">
        <v>686</v>
      </c>
      <c r="E66" s="597">
        <v>27500</v>
      </c>
      <c r="F66" s="588">
        <f t="shared" ref="F66:F70" si="6">E66/21.67</f>
        <v>1269.0355329949239</v>
      </c>
      <c r="G66" s="598">
        <v>20</v>
      </c>
      <c r="H66" s="590">
        <f t="shared" si="2"/>
        <v>27</v>
      </c>
      <c r="I66" s="599">
        <v>1</v>
      </c>
      <c r="J66" s="599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590">
        <f t="shared" si="3"/>
        <v>26</v>
      </c>
      <c r="V66" s="588">
        <f t="shared" si="0"/>
        <v>32994.923857868023</v>
      </c>
    </row>
    <row r="67" spans="1:22" s="592" customFormat="1" x14ac:dyDescent="0.25">
      <c r="A67" s="593">
        <v>60</v>
      </c>
      <c r="B67" s="594" t="s">
        <v>687</v>
      </c>
      <c r="C67" s="595">
        <v>7</v>
      </c>
      <c r="D67" s="596" t="s">
        <v>660</v>
      </c>
      <c r="E67" s="597">
        <v>45000</v>
      </c>
      <c r="F67" s="588">
        <f t="shared" si="6"/>
        <v>2076.6035994462391</v>
      </c>
      <c r="G67" s="598">
        <v>15</v>
      </c>
      <c r="H67" s="590">
        <f t="shared" si="2"/>
        <v>22</v>
      </c>
      <c r="I67" s="599"/>
      <c r="J67" s="599"/>
      <c r="K67" s="600"/>
      <c r="L67" s="600"/>
      <c r="M67" s="600">
        <v>5</v>
      </c>
      <c r="N67" s="600"/>
      <c r="O67" s="600"/>
      <c r="P67" s="600"/>
      <c r="Q67" s="600"/>
      <c r="R67" s="600"/>
      <c r="S67" s="600"/>
      <c r="T67" s="600"/>
      <c r="U67" s="590">
        <f t="shared" si="3"/>
        <v>17</v>
      </c>
      <c r="V67" s="588">
        <f t="shared" si="0"/>
        <v>35302.261190586061</v>
      </c>
    </row>
    <row r="68" spans="1:22" s="592" customFormat="1" x14ac:dyDescent="0.25">
      <c r="A68" s="583">
        <v>61</v>
      </c>
      <c r="B68" s="594" t="s">
        <v>688</v>
      </c>
      <c r="C68" s="595">
        <v>0</v>
      </c>
      <c r="D68" s="596" t="s">
        <v>647</v>
      </c>
      <c r="E68" s="597">
        <v>27500</v>
      </c>
      <c r="F68" s="588">
        <f t="shared" si="6"/>
        <v>1269.0355329949239</v>
      </c>
      <c r="G68" s="598">
        <v>15</v>
      </c>
      <c r="H68" s="590">
        <f t="shared" si="2"/>
        <v>15</v>
      </c>
      <c r="I68" s="599"/>
      <c r="J68" s="599"/>
      <c r="K68" s="600"/>
      <c r="L68" s="600"/>
      <c r="M68" s="600"/>
      <c r="N68" s="600"/>
      <c r="O68" s="600"/>
      <c r="P68" s="600"/>
      <c r="Q68" s="600"/>
      <c r="R68" s="600"/>
      <c r="S68" s="600"/>
      <c r="T68" s="600"/>
      <c r="U68" s="590">
        <f t="shared" si="3"/>
        <v>15</v>
      </c>
      <c r="V68" s="588">
        <f t="shared" si="0"/>
        <v>19035.532994923858</v>
      </c>
    </row>
    <row r="69" spans="1:22" s="592" customFormat="1" x14ac:dyDescent="0.25">
      <c r="A69" s="593">
        <v>62</v>
      </c>
      <c r="B69" s="601" t="s">
        <v>830</v>
      </c>
      <c r="C69" s="595">
        <v>10</v>
      </c>
      <c r="D69" s="596" t="s">
        <v>634</v>
      </c>
      <c r="E69" s="597">
        <v>85000</v>
      </c>
      <c r="F69" s="588">
        <f t="shared" si="6"/>
        <v>3922.4734656206733</v>
      </c>
      <c r="G69" s="598">
        <v>30</v>
      </c>
      <c r="H69" s="590">
        <f t="shared" si="2"/>
        <v>40</v>
      </c>
      <c r="I69" s="599"/>
      <c r="J69" s="599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590">
        <f t="shared" si="3"/>
        <v>40</v>
      </c>
      <c r="V69" s="588">
        <f t="shared" si="0"/>
        <v>156898.93862482693</v>
      </c>
    </row>
    <row r="70" spans="1:22" s="592" customFormat="1" x14ac:dyDescent="0.25">
      <c r="A70" s="593">
        <v>63</v>
      </c>
      <c r="B70" s="594" t="s">
        <v>689</v>
      </c>
      <c r="C70" s="595">
        <v>11</v>
      </c>
      <c r="D70" s="596" t="s">
        <v>831</v>
      </c>
      <c r="E70" s="597">
        <v>49500</v>
      </c>
      <c r="F70" s="588">
        <f t="shared" si="6"/>
        <v>2284.263959390863</v>
      </c>
      <c r="G70" s="598">
        <v>20</v>
      </c>
      <c r="H70" s="590">
        <f t="shared" si="2"/>
        <v>31</v>
      </c>
      <c r="I70" s="599">
        <v>6</v>
      </c>
      <c r="J70" s="599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590">
        <f t="shared" si="3"/>
        <v>25</v>
      </c>
      <c r="V70" s="588">
        <f t="shared" si="0"/>
        <v>57106.598984771575</v>
      </c>
    </row>
    <row r="71" spans="1:22" s="592" customFormat="1" x14ac:dyDescent="0.25">
      <c r="A71" s="583">
        <v>64</v>
      </c>
      <c r="B71" s="594" t="s">
        <v>832</v>
      </c>
      <c r="C71" s="595">
        <v>0</v>
      </c>
      <c r="D71" s="596" t="s">
        <v>645</v>
      </c>
      <c r="E71" s="597">
        <v>27500</v>
      </c>
      <c r="F71" s="588">
        <f>E71/21.67</f>
        <v>1269.0355329949239</v>
      </c>
      <c r="G71" s="598">
        <v>15</v>
      </c>
      <c r="H71" s="590">
        <f t="shared" si="2"/>
        <v>15</v>
      </c>
      <c r="I71" s="599"/>
      <c r="J71" s="599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590">
        <f t="shared" si="3"/>
        <v>15</v>
      </c>
      <c r="V71" s="588">
        <f t="shared" si="0"/>
        <v>19035.532994923858</v>
      </c>
    </row>
    <row r="72" spans="1:22" s="592" customFormat="1" x14ac:dyDescent="0.25">
      <c r="A72" s="593">
        <v>65</v>
      </c>
      <c r="B72" s="594" t="s">
        <v>690</v>
      </c>
      <c r="C72" s="595">
        <v>15</v>
      </c>
      <c r="D72" s="596" t="s">
        <v>691</v>
      </c>
      <c r="E72" s="597">
        <v>88000</v>
      </c>
      <c r="F72" s="588">
        <f>E72/21.67</f>
        <v>4060.9137055837559</v>
      </c>
      <c r="G72" s="598">
        <v>30</v>
      </c>
      <c r="H72" s="590">
        <f t="shared" si="2"/>
        <v>45</v>
      </c>
      <c r="I72" s="599"/>
      <c r="J72" s="599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590">
        <f t="shared" si="3"/>
        <v>45</v>
      </c>
      <c r="V72" s="588">
        <f t="shared" ref="V72:V93" si="7">F72*U72</f>
        <v>182741.11675126903</v>
      </c>
    </row>
    <row r="73" spans="1:22" s="592" customFormat="1" x14ac:dyDescent="0.25">
      <c r="A73" s="593">
        <v>66</v>
      </c>
      <c r="B73" s="594" t="s">
        <v>692</v>
      </c>
      <c r="C73" s="595">
        <v>0</v>
      </c>
      <c r="D73" s="596" t="s">
        <v>371</v>
      </c>
      <c r="E73" s="597">
        <v>220000</v>
      </c>
      <c r="F73" s="588">
        <f t="shared" ref="F73:F89" si="8">E73/21.67</f>
        <v>10152.284263959391</v>
      </c>
      <c r="G73" s="598">
        <v>15</v>
      </c>
      <c r="H73" s="590">
        <f t="shared" ref="H73:H93" si="9">C73+G73</f>
        <v>15</v>
      </c>
      <c r="I73" s="599"/>
      <c r="J73" s="599"/>
      <c r="K73" s="600"/>
      <c r="L73" s="600"/>
      <c r="M73" s="600">
        <v>2</v>
      </c>
      <c r="N73" s="600"/>
      <c r="O73" s="600"/>
      <c r="P73" s="600"/>
      <c r="Q73" s="600"/>
      <c r="R73" s="600"/>
      <c r="S73" s="600"/>
      <c r="T73" s="600"/>
      <c r="U73" s="590">
        <f t="shared" ref="U73:U93" si="10">H73-I73-J73-K73-L73-M73-N73-O73-P73-Q73-R73-S73-T73</f>
        <v>13</v>
      </c>
      <c r="V73" s="588">
        <f t="shared" si="7"/>
        <v>131979.69543147209</v>
      </c>
    </row>
    <row r="74" spans="1:22" s="592" customFormat="1" x14ac:dyDescent="0.25">
      <c r="A74" s="583">
        <v>67</v>
      </c>
      <c r="B74" s="602" t="s">
        <v>693</v>
      </c>
      <c r="C74" s="595">
        <v>5</v>
      </c>
      <c r="D74" s="596" t="s">
        <v>833</v>
      </c>
      <c r="E74" s="597">
        <v>180000</v>
      </c>
      <c r="F74" s="588">
        <f t="shared" si="8"/>
        <v>8306.4143977849562</v>
      </c>
      <c r="G74" s="598">
        <v>30</v>
      </c>
      <c r="H74" s="590">
        <f t="shared" si="9"/>
        <v>35</v>
      </c>
      <c r="I74" s="599">
        <v>4</v>
      </c>
      <c r="J74" s="599">
        <v>1</v>
      </c>
      <c r="K74" s="600">
        <v>2</v>
      </c>
      <c r="L74" s="600">
        <v>6</v>
      </c>
      <c r="M74" s="600"/>
      <c r="N74" s="600"/>
      <c r="O74" s="600"/>
      <c r="P74" s="600"/>
      <c r="Q74" s="600"/>
      <c r="R74" s="600"/>
      <c r="S74" s="600"/>
      <c r="T74" s="600"/>
      <c r="U74" s="590">
        <f t="shared" si="10"/>
        <v>22</v>
      </c>
      <c r="V74" s="588">
        <f t="shared" si="7"/>
        <v>182741.11675126903</v>
      </c>
    </row>
    <row r="75" spans="1:22" s="592" customFormat="1" x14ac:dyDescent="0.25">
      <c r="A75" s="593">
        <v>68</v>
      </c>
      <c r="B75" s="594" t="s">
        <v>694</v>
      </c>
      <c r="C75" s="605">
        <v>0</v>
      </c>
      <c r="D75" s="596" t="s">
        <v>638</v>
      </c>
      <c r="E75" s="597">
        <v>27500</v>
      </c>
      <c r="F75" s="588">
        <f t="shared" si="8"/>
        <v>1269.0355329949239</v>
      </c>
      <c r="G75" s="598">
        <v>15</v>
      </c>
      <c r="H75" s="590">
        <f t="shared" si="9"/>
        <v>15</v>
      </c>
      <c r="I75" s="599"/>
      <c r="J75" s="599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590">
        <f t="shared" si="10"/>
        <v>15</v>
      </c>
      <c r="V75" s="588">
        <f t="shared" si="7"/>
        <v>19035.532994923858</v>
      </c>
    </row>
    <row r="76" spans="1:22" s="592" customFormat="1" x14ac:dyDescent="0.25">
      <c r="A76" s="593">
        <v>69</v>
      </c>
      <c r="B76" s="594" t="s">
        <v>695</v>
      </c>
      <c r="C76" s="595">
        <v>6</v>
      </c>
      <c r="D76" s="596" t="s">
        <v>634</v>
      </c>
      <c r="E76" s="597">
        <v>66000</v>
      </c>
      <c r="F76" s="588">
        <f t="shared" si="8"/>
        <v>3045.6852791878168</v>
      </c>
      <c r="G76" s="598">
        <v>15</v>
      </c>
      <c r="H76" s="590">
        <f t="shared" si="9"/>
        <v>21</v>
      </c>
      <c r="I76" s="599"/>
      <c r="J76" s="599"/>
      <c r="K76" s="600">
        <v>12</v>
      </c>
      <c r="L76" s="600"/>
      <c r="M76" s="600"/>
      <c r="N76" s="600"/>
      <c r="O76" s="600"/>
      <c r="P76" s="600"/>
      <c r="Q76" s="600"/>
      <c r="R76" s="600"/>
      <c r="S76" s="600"/>
      <c r="T76" s="600"/>
      <c r="U76" s="590">
        <f t="shared" si="10"/>
        <v>9</v>
      </c>
      <c r="V76" s="588">
        <f t="shared" si="7"/>
        <v>27411.16751269035</v>
      </c>
    </row>
    <row r="77" spans="1:22" s="592" customFormat="1" x14ac:dyDescent="0.25">
      <c r="A77" s="583">
        <v>70</v>
      </c>
      <c r="B77" s="594" t="s">
        <v>696</v>
      </c>
      <c r="C77" s="605">
        <v>9</v>
      </c>
      <c r="D77" s="596" t="s">
        <v>697</v>
      </c>
      <c r="E77" s="597">
        <v>35750</v>
      </c>
      <c r="F77" s="588">
        <f t="shared" si="8"/>
        <v>1649.7461928934008</v>
      </c>
      <c r="G77" s="598">
        <v>20</v>
      </c>
      <c r="H77" s="590">
        <f t="shared" si="9"/>
        <v>29</v>
      </c>
      <c r="I77" s="599">
        <v>14</v>
      </c>
      <c r="J77" s="599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590">
        <f t="shared" si="10"/>
        <v>15</v>
      </c>
      <c r="V77" s="588">
        <f t="shared" si="7"/>
        <v>24746.192893401014</v>
      </c>
    </row>
    <row r="78" spans="1:22" s="592" customFormat="1" x14ac:dyDescent="0.25">
      <c r="A78" s="593">
        <v>71</v>
      </c>
      <c r="B78" s="601" t="s">
        <v>834</v>
      </c>
      <c r="C78" s="605">
        <v>30</v>
      </c>
      <c r="D78" s="596" t="s">
        <v>638</v>
      </c>
      <c r="E78" s="597">
        <v>22000</v>
      </c>
      <c r="F78" s="588">
        <f t="shared" si="8"/>
        <v>1015.228426395939</v>
      </c>
      <c r="G78" s="598">
        <v>30</v>
      </c>
      <c r="H78" s="590">
        <f t="shared" si="9"/>
        <v>60</v>
      </c>
      <c r="I78" s="599"/>
      <c r="J78" s="599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590">
        <f t="shared" si="10"/>
        <v>60</v>
      </c>
      <c r="V78" s="588">
        <f t="shared" si="7"/>
        <v>60913.705583756338</v>
      </c>
    </row>
    <row r="79" spans="1:22" s="592" customFormat="1" x14ac:dyDescent="0.25">
      <c r="A79" s="593">
        <v>72</v>
      </c>
      <c r="B79" s="594" t="s">
        <v>698</v>
      </c>
      <c r="C79" s="605">
        <v>5</v>
      </c>
      <c r="D79" s="596" t="s">
        <v>686</v>
      </c>
      <c r="E79" s="597">
        <v>29370</v>
      </c>
      <c r="F79" s="588">
        <f t="shared" si="8"/>
        <v>1355.3299492385786</v>
      </c>
      <c r="G79" s="598">
        <v>30</v>
      </c>
      <c r="H79" s="590">
        <f t="shared" si="9"/>
        <v>35</v>
      </c>
      <c r="I79" s="599">
        <v>10</v>
      </c>
      <c r="J79" s="599"/>
      <c r="K79" s="600"/>
      <c r="L79" s="600"/>
      <c r="M79" s="600">
        <v>10</v>
      </c>
      <c r="N79" s="600"/>
      <c r="O79" s="600"/>
      <c r="P79" s="600"/>
      <c r="Q79" s="600"/>
      <c r="R79" s="600"/>
      <c r="S79" s="600"/>
      <c r="T79" s="600"/>
      <c r="U79" s="590">
        <f t="shared" si="10"/>
        <v>15</v>
      </c>
      <c r="V79" s="588">
        <f t="shared" si="7"/>
        <v>20329.94923857868</v>
      </c>
    </row>
    <row r="80" spans="1:22" s="592" customFormat="1" x14ac:dyDescent="0.25">
      <c r="A80" s="583">
        <v>73</v>
      </c>
      <c r="B80" s="601" t="s">
        <v>699</v>
      </c>
      <c r="C80" s="605">
        <v>10</v>
      </c>
      <c r="D80" s="596" t="s">
        <v>823</v>
      </c>
      <c r="E80" s="597">
        <v>45000</v>
      </c>
      <c r="F80" s="588">
        <f t="shared" si="8"/>
        <v>2076.6035994462391</v>
      </c>
      <c r="G80" s="598">
        <v>30</v>
      </c>
      <c r="H80" s="590">
        <f t="shared" si="9"/>
        <v>40</v>
      </c>
      <c r="I80" s="599">
        <v>1</v>
      </c>
      <c r="J80" s="599"/>
      <c r="K80" s="600"/>
      <c r="L80" s="600">
        <v>8</v>
      </c>
      <c r="M80" s="600"/>
      <c r="N80" s="600"/>
      <c r="O80" s="600"/>
      <c r="P80" s="600"/>
      <c r="Q80" s="600"/>
      <c r="R80" s="600"/>
      <c r="S80" s="600"/>
      <c r="T80" s="600"/>
      <c r="U80" s="590">
        <f t="shared" si="10"/>
        <v>31</v>
      </c>
      <c r="V80" s="588">
        <f t="shared" si="7"/>
        <v>64374.711582833414</v>
      </c>
    </row>
    <row r="81" spans="1:25" s="592" customFormat="1" x14ac:dyDescent="0.25">
      <c r="A81" s="593">
        <v>74</v>
      </c>
      <c r="B81" s="601" t="s">
        <v>835</v>
      </c>
      <c r="C81" s="605">
        <v>0</v>
      </c>
      <c r="D81" s="596" t="s">
        <v>686</v>
      </c>
      <c r="E81" s="597">
        <v>27500</v>
      </c>
      <c r="F81" s="588">
        <f t="shared" si="8"/>
        <v>1269.0355329949239</v>
      </c>
      <c r="G81" s="598">
        <v>15</v>
      </c>
      <c r="H81" s="590">
        <f t="shared" si="9"/>
        <v>15</v>
      </c>
      <c r="I81" s="599"/>
      <c r="J81" s="599"/>
      <c r="K81" s="600"/>
      <c r="L81" s="600"/>
      <c r="M81" s="600"/>
      <c r="N81" s="600"/>
      <c r="O81" s="600"/>
      <c r="P81" s="600"/>
      <c r="Q81" s="600"/>
      <c r="R81" s="600"/>
      <c r="S81" s="600"/>
      <c r="T81" s="600"/>
      <c r="U81" s="590">
        <f t="shared" si="10"/>
        <v>15</v>
      </c>
      <c r="V81" s="588">
        <f t="shared" si="7"/>
        <v>19035.532994923858</v>
      </c>
    </row>
    <row r="82" spans="1:25" s="592" customFormat="1" x14ac:dyDescent="0.25">
      <c r="A82" s="593">
        <v>75</v>
      </c>
      <c r="B82" s="601" t="s">
        <v>700</v>
      </c>
      <c r="C82" s="595">
        <v>6</v>
      </c>
      <c r="D82" s="596" t="s">
        <v>701</v>
      </c>
      <c r="E82" s="597">
        <v>380000</v>
      </c>
      <c r="F82" s="588">
        <f t="shared" si="8"/>
        <v>17535.76372865713</v>
      </c>
      <c r="G82" s="598">
        <v>30</v>
      </c>
      <c r="H82" s="590">
        <f t="shared" si="9"/>
        <v>36</v>
      </c>
      <c r="I82" s="599"/>
      <c r="J82" s="599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590">
        <f t="shared" si="10"/>
        <v>36</v>
      </c>
      <c r="V82" s="588">
        <f t="shared" si="7"/>
        <v>631287.49423165666</v>
      </c>
    </row>
    <row r="83" spans="1:25" s="592" customFormat="1" x14ac:dyDescent="0.25">
      <c r="A83" s="583">
        <v>76</v>
      </c>
      <c r="B83" s="594" t="s">
        <v>702</v>
      </c>
      <c r="C83" s="595">
        <v>0</v>
      </c>
      <c r="D83" s="596" t="s">
        <v>371</v>
      </c>
      <c r="E83" s="597">
        <v>120000</v>
      </c>
      <c r="F83" s="588">
        <f t="shared" si="8"/>
        <v>5537.6095985233032</v>
      </c>
      <c r="G83" s="598">
        <v>30</v>
      </c>
      <c r="H83" s="590">
        <f t="shared" si="9"/>
        <v>30</v>
      </c>
      <c r="I83" s="599"/>
      <c r="J83" s="599">
        <v>1</v>
      </c>
      <c r="K83" s="600"/>
      <c r="L83" s="600"/>
      <c r="M83" s="600"/>
      <c r="N83" s="600"/>
      <c r="O83" s="600"/>
      <c r="P83" s="600"/>
      <c r="Q83" s="600"/>
      <c r="R83" s="600"/>
      <c r="S83" s="600"/>
      <c r="T83" s="600"/>
      <c r="U83" s="590">
        <f t="shared" si="10"/>
        <v>29</v>
      </c>
      <c r="V83" s="588">
        <f t="shared" si="7"/>
        <v>160590.67835717578</v>
      </c>
    </row>
    <row r="84" spans="1:25" s="592" customFormat="1" x14ac:dyDescent="0.25">
      <c r="A84" s="593">
        <v>77</v>
      </c>
      <c r="B84" s="594" t="s">
        <v>703</v>
      </c>
      <c r="C84" s="595">
        <v>0</v>
      </c>
      <c r="D84" s="596" t="s">
        <v>634</v>
      </c>
      <c r="E84" s="597">
        <v>66000</v>
      </c>
      <c r="F84" s="588">
        <f t="shared" si="8"/>
        <v>3045.6852791878168</v>
      </c>
      <c r="G84" s="598">
        <v>30</v>
      </c>
      <c r="H84" s="590">
        <f t="shared" si="9"/>
        <v>30</v>
      </c>
      <c r="I84" s="599"/>
      <c r="J84" s="599"/>
      <c r="K84" s="600"/>
      <c r="L84" s="600"/>
      <c r="M84" s="600">
        <v>7</v>
      </c>
      <c r="N84" s="600"/>
      <c r="O84" s="600"/>
      <c r="P84" s="600"/>
      <c r="Q84" s="600"/>
      <c r="R84" s="600"/>
      <c r="S84" s="600"/>
      <c r="T84" s="600"/>
      <c r="U84" s="590">
        <f t="shared" si="10"/>
        <v>23</v>
      </c>
      <c r="V84" s="588">
        <f t="shared" si="7"/>
        <v>70050.761421319781</v>
      </c>
    </row>
    <row r="85" spans="1:25" s="592" customFormat="1" ht="15.75" customHeight="1" x14ac:dyDescent="0.25">
      <c r="A85" s="593">
        <v>78</v>
      </c>
      <c r="B85" s="594" t="s">
        <v>704</v>
      </c>
      <c r="C85" s="595">
        <v>15</v>
      </c>
      <c r="D85" s="596" t="s">
        <v>638</v>
      </c>
      <c r="E85" s="597">
        <v>20000</v>
      </c>
      <c r="F85" s="588">
        <f t="shared" si="8"/>
        <v>922.93493308721725</v>
      </c>
      <c r="G85" s="598">
        <v>15</v>
      </c>
      <c r="H85" s="590">
        <f t="shared" si="9"/>
        <v>30</v>
      </c>
      <c r="I85" s="599"/>
      <c r="J85" s="599">
        <v>13</v>
      </c>
      <c r="K85" s="600"/>
      <c r="L85" s="600"/>
      <c r="M85" s="600"/>
      <c r="N85" s="600"/>
      <c r="O85" s="600"/>
      <c r="P85" s="600"/>
      <c r="Q85" s="600"/>
      <c r="R85" s="600"/>
      <c r="S85" s="600"/>
      <c r="T85" s="600"/>
      <c r="U85" s="590">
        <f t="shared" si="10"/>
        <v>17</v>
      </c>
      <c r="V85" s="588">
        <f t="shared" si="7"/>
        <v>15689.893862482693</v>
      </c>
    </row>
    <row r="86" spans="1:25" s="592" customFormat="1" x14ac:dyDescent="0.25">
      <c r="A86" s="583">
        <v>79</v>
      </c>
      <c r="B86" s="594" t="s">
        <v>836</v>
      </c>
      <c r="C86" s="595">
        <v>5</v>
      </c>
      <c r="D86" s="596" t="s">
        <v>705</v>
      </c>
      <c r="E86" s="597">
        <v>100000</v>
      </c>
      <c r="F86" s="588">
        <f t="shared" si="8"/>
        <v>4614.6746654360868</v>
      </c>
      <c r="G86" s="598">
        <v>25</v>
      </c>
      <c r="H86" s="590">
        <f t="shared" si="9"/>
        <v>30</v>
      </c>
      <c r="I86" s="599"/>
      <c r="J86" s="599"/>
      <c r="K86" s="600">
        <v>15</v>
      </c>
      <c r="L86" s="600"/>
      <c r="M86" s="600"/>
      <c r="N86" s="600"/>
      <c r="O86" s="600"/>
      <c r="P86" s="600"/>
      <c r="Q86" s="600"/>
      <c r="R86" s="600"/>
      <c r="S86" s="600"/>
      <c r="T86" s="600"/>
      <c r="U86" s="590">
        <f t="shared" si="10"/>
        <v>15</v>
      </c>
      <c r="V86" s="588">
        <f t="shared" si="7"/>
        <v>69220.119981541298</v>
      </c>
      <c r="Y86" s="592" t="s">
        <v>0</v>
      </c>
    </row>
    <row r="87" spans="1:25" s="592" customFormat="1" x14ac:dyDescent="0.25">
      <c r="A87" s="593">
        <v>80</v>
      </c>
      <c r="B87" s="601" t="s">
        <v>706</v>
      </c>
      <c r="C87" s="595">
        <v>20</v>
      </c>
      <c r="D87" s="596" t="s">
        <v>665</v>
      </c>
      <c r="E87" s="597">
        <v>66000</v>
      </c>
      <c r="F87" s="588">
        <f t="shared" si="8"/>
        <v>3045.6852791878168</v>
      </c>
      <c r="G87" s="598">
        <v>30</v>
      </c>
      <c r="H87" s="590">
        <f t="shared" si="9"/>
        <v>50</v>
      </c>
      <c r="I87" s="599"/>
      <c r="J87" s="599"/>
      <c r="K87" s="600"/>
      <c r="L87" s="600"/>
      <c r="M87" s="600"/>
      <c r="N87" s="600"/>
      <c r="O87" s="600"/>
      <c r="P87" s="600"/>
      <c r="Q87" s="600"/>
      <c r="R87" s="600"/>
      <c r="S87" s="600"/>
      <c r="T87" s="600"/>
      <c r="U87" s="590">
        <f t="shared" si="10"/>
        <v>50</v>
      </c>
      <c r="V87" s="588">
        <f t="shared" si="7"/>
        <v>152284.26395939084</v>
      </c>
    </row>
    <row r="88" spans="1:25" s="592" customFormat="1" x14ac:dyDescent="0.25">
      <c r="A88" s="593">
        <v>81</v>
      </c>
      <c r="B88" s="601" t="s">
        <v>707</v>
      </c>
      <c r="C88" s="595">
        <v>0</v>
      </c>
      <c r="D88" s="596" t="s">
        <v>708</v>
      </c>
      <c r="E88" s="597">
        <v>170000</v>
      </c>
      <c r="F88" s="588">
        <f t="shared" si="8"/>
        <v>7844.9469312413466</v>
      </c>
      <c r="G88" s="598">
        <v>30</v>
      </c>
      <c r="H88" s="590">
        <f t="shared" si="9"/>
        <v>30</v>
      </c>
      <c r="I88" s="599"/>
      <c r="J88" s="599"/>
      <c r="K88" s="600"/>
      <c r="L88" s="600"/>
      <c r="M88" s="600">
        <v>6</v>
      </c>
      <c r="N88" s="600"/>
      <c r="O88" s="600"/>
      <c r="P88" s="600"/>
      <c r="Q88" s="600"/>
      <c r="R88" s="600"/>
      <c r="S88" s="600"/>
      <c r="T88" s="600"/>
      <c r="U88" s="590">
        <f t="shared" si="10"/>
        <v>24</v>
      </c>
      <c r="V88" s="588">
        <f t="shared" si="7"/>
        <v>188278.72634979233</v>
      </c>
    </row>
    <row r="89" spans="1:25" s="592" customFormat="1" x14ac:dyDescent="0.25">
      <c r="A89" s="583">
        <v>82</v>
      </c>
      <c r="B89" s="602" t="s">
        <v>709</v>
      </c>
      <c r="C89" s="595">
        <v>9</v>
      </c>
      <c r="D89" s="596" t="s">
        <v>638</v>
      </c>
      <c r="E89" s="597">
        <v>22000</v>
      </c>
      <c r="F89" s="588">
        <f t="shared" si="8"/>
        <v>1015.228426395939</v>
      </c>
      <c r="G89" s="598">
        <v>15</v>
      </c>
      <c r="H89" s="590">
        <f t="shared" si="9"/>
        <v>24</v>
      </c>
      <c r="I89" s="599"/>
      <c r="J89" s="599"/>
      <c r="K89" s="600"/>
      <c r="L89" s="600"/>
      <c r="M89" s="600"/>
      <c r="N89" s="600"/>
      <c r="O89" s="600"/>
      <c r="P89" s="600"/>
      <c r="Q89" s="600"/>
      <c r="R89" s="600"/>
      <c r="S89" s="600"/>
      <c r="T89" s="600"/>
      <c r="U89" s="590">
        <f t="shared" si="10"/>
        <v>24</v>
      </c>
      <c r="V89" s="588">
        <f t="shared" si="7"/>
        <v>24365.482233502535</v>
      </c>
    </row>
    <row r="90" spans="1:25" s="592" customFormat="1" x14ac:dyDescent="0.25">
      <c r="A90" s="593">
        <v>83</v>
      </c>
      <c r="B90" s="596" t="s">
        <v>837</v>
      </c>
      <c r="C90" s="595">
        <v>0</v>
      </c>
      <c r="D90" s="596" t="s">
        <v>838</v>
      </c>
      <c r="E90" s="597">
        <v>20000</v>
      </c>
      <c r="F90" s="588">
        <f>E90/21.67</f>
        <v>922.93493308721725</v>
      </c>
      <c r="G90" s="598">
        <v>15</v>
      </c>
      <c r="H90" s="590">
        <f t="shared" si="9"/>
        <v>15</v>
      </c>
      <c r="I90" s="599"/>
      <c r="J90" s="599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590">
        <f t="shared" si="10"/>
        <v>15</v>
      </c>
      <c r="V90" s="588">
        <f t="shared" si="7"/>
        <v>13844.023996308259</v>
      </c>
    </row>
    <row r="91" spans="1:25" s="592" customFormat="1" x14ac:dyDescent="0.25">
      <c r="A91" s="593">
        <v>84</v>
      </c>
      <c r="B91" s="596" t="s">
        <v>710</v>
      </c>
      <c r="C91" s="595">
        <v>5</v>
      </c>
      <c r="D91" s="596" t="s">
        <v>645</v>
      </c>
      <c r="E91" s="597">
        <v>27500</v>
      </c>
      <c r="F91" s="588">
        <f>E91/21.67</f>
        <v>1269.0355329949239</v>
      </c>
      <c r="G91" s="598">
        <v>30</v>
      </c>
      <c r="H91" s="590">
        <f t="shared" si="9"/>
        <v>35</v>
      </c>
      <c r="I91" s="599"/>
      <c r="J91" s="599"/>
      <c r="K91" s="600"/>
      <c r="L91" s="600">
        <v>4</v>
      </c>
      <c r="M91" s="600"/>
      <c r="N91" s="600"/>
      <c r="O91" s="600"/>
      <c r="P91" s="600"/>
      <c r="Q91" s="600"/>
      <c r="R91" s="600"/>
      <c r="S91" s="600"/>
      <c r="T91" s="600"/>
      <c r="U91" s="590">
        <f t="shared" si="10"/>
        <v>31</v>
      </c>
      <c r="V91" s="588">
        <f t="shared" si="7"/>
        <v>39340.10152284264</v>
      </c>
    </row>
    <row r="92" spans="1:25" s="592" customFormat="1" x14ac:dyDescent="0.25">
      <c r="A92" s="583">
        <v>85</v>
      </c>
      <c r="B92" s="596" t="s">
        <v>711</v>
      </c>
      <c r="C92" s="595">
        <v>7</v>
      </c>
      <c r="D92" s="596" t="s">
        <v>647</v>
      </c>
      <c r="E92" s="597">
        <v>25000</v>
      </c>
      <c r="F92" s="588">
        <f t="shared" ref="F92:F93" si="11">E92/21.67</f>
        <v>1153.6686663590217</v>
      </c>
      <c r="G92" s="598">
        <v>15</v>
      </c>
      <c r="H92" s="590">
        <f t="shared" si="9"/>
        <v>22</v>
      </c>
      <c r="I92" s="599">
        <v>1</v>
      </c>
      <c r="J92" s="599"/>
      <c r="K92" s="600"/>
      <c r="L92" s="600">
        <v>1</v>
      </c>
      <c r="M92" s="600"/>
      <c r="N92" s="600"/>
      <c r="O92" s="600"/>
      <c r="P92" s="600"/>
      <c r="Q92" s="600"/>
      <c r="R92" s="600"/>
      <c r="S92" s="600"/>
      <c r="T92" s="600"/>
      <c r="U92" s="590">
        <f t="shared" si="10"/>
        <v>20</v>
      </c>
      <c r="V92" s="588">
        <f t="shared" si="7"/>
        <v>23073.373327180434</v>
      </c>
    </row>
    <row r="93" spans="1:25" s="592" customFormat="1" x14ac:dyDescent="0.25">
      <c r="A93" s="593">
        <v>86</v>
      </c>
      <c r="B93" s="596" t="s">
        <v>712</v>
      </c>
      <c r="C93" s="595">
        <v>1</v>
      </c>
      <c r="D93" s="596" t="s">
        <v>642</v>
      </c>
      <c r="E93" s="597">
        <v>88000</v>
      </c>
      <c r="F93" s="588">
        <f t="shared" si="11"/>
        <v>4060.9137055837559</v>
      </c>
      <c r="G93" s="598">
        <v>25</v>
      </c>
      <c r="H93" s="590">
        <f t="shared" si="9"/>
        <v>26</v>
      </c>
      <c r="I93" s="599"/>
      <c r="J93" s="599"/>
      <c r="K93" s="600"/>
      <c r="L93" s="600">
        <v>6</v>
      </c>
      <c r="M93" s="600"/>
      <c r="N93" s="600"/>
      <c r="O93" s="600"/>
      <c r="P93" s="600"/>
      <c r="Q93" s="600"/>
      <c r="R93" s="600"/>
      <c r="S93" s="600"/>
      <c r="T93" s="600"/>
      <c r="U93" s="590">
        <f t="shared" si="10"/>
        <v>20</v>
      </c>
      <c r="V93" s="588">
        <f t="shared" si="7"/>
        <v>81218.274111675113</v>
      </c>
    </row>
    <row r="94" spans="1:25" s="592" customFormat="1" x14ac:dyDescent="0.25">
      <c r="A94"/>
      <c r="B94"/>
      <c r="K94"/>
      <c r="L94"/>
      <c r="M94"/>
      <c r="N94"/>
      <c r="O94"/>
      <c r="P94"/>
      <c r="Q94"/>
      <c r="R94"/>
      <c r="S94"/>
      <c r="T94"/>
      <c r="U94"/>
      <c r="V94" s="606">
        <f>SUM(V8:V93)</f>
        <v>9423421.7812644206</v>
      </c>
      <c r="W94"/>
      <c r="X94"/>
    </row>
    <row r="95" spans="1:25" s="592" customFormat="1" x14ac:dyDescent="0.25">
      <c r="A95"/>
      <c r="K95"/>
      <c r="L95"/>
      <c r="M95"/>
      <c r="N95"/>
      <c r="O95"/>
      <c r="P95"/>
      <c r="Q95"/>
      <c r="R95"/>
      <c r="S95"/>
      <c r="T95"/>
      <c r="U95"/>
      <c r="V95" s="607" t="s">
        <v>898</v>
      </c>
      <c r="W95"/>
      <c r="X95"/>
    </row>
    <row r="96" spans="1:25" x14ac:dyDescent="0.25">
      <c r="A96"/>
      <c r="H96" s="592"/>
      <c r="I96" s="608"/>
      <c r="J96" s="608"/>
      <c r="V96" s="609">
        <f>+V94/12</f>
        <v>785285.14843870176</v>
      </c>
    </row>
    <row r="100" spans="1:41" s="494" customFormat="1" x14ac:dyDescent="0.2">
      <c r="A100" s="493"/>
      <c r="B100" s="493"/>
      <c r="D100"/>
      <c r="E100"/>
      <c r="F100"/>
      <c r="G100"/>
      <c r="H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494" customFormat="1" x14ac:dyDescent="0.2">
      <c r="A101" s="493"/>
      <c r="B101" s="493"/>
      <c r="D101"/>
      <c r="E101"/>
      <c r="F101"/>
      <c r="G101"/>
      <c r="H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494" customFormat="1" x14ac:dyDescent="0.2">
      <c r="A102" s="493"/>
      <c r="B102" s="493"/>
      <c r="D102"/>
      <c r="E102"/>
      <c r="F102"/>
      <c r="G102"/>
      <c r="H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494" customFormat="1" x14ac:dyDescent="0.2">
      <c r="A103" s="493"/>
      <c r="B103" s="493"/>
      <c r="D103"/>
      <c r="E103"/>
      <c r="F103"/>
      <c r="G103"/>
      <c r="H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494" customFormat="1" x14ac:dyDescent="0.2">
      <c r="A104" s="493"/>
      <c r="B104" s="493"/>
      <c r="D104"/>
      <c r="E104"/>
      <c r="F104"/>
      <c r="G104"/>
      <c r="H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494" customFormat="1" x14ac:dyDescent="0.2">
      <c r="A105" s="493"/>
      <c r="B105" s="493"/>
      <c r="D105"/>
      <c r="E105"/>
      <c r="F105"/>
      <c r="G105"/>
      <c r="H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494" customFormat="1" x14ac:dyDescent="0.2">
      <c r="A106" s="493"/>
      <c r="B106" s="493"/>
      <c r="D106"/>
      <c r="E106"/>
      <c r="F106"/>
      <c r="G106"/>
      <c r="H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494" customFormat="1" x14ac:dyDescent="0.2">
      <c r="A107" s="493"/>
      <c r="B107" s="493"/>
      <c r="D107"/>
      <c r="E107"/>
      <c r="F107"/>
      <c r="G107"/>
      <c r="H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</sheetData>
  <conditionalFormatting sqref="C9:C14 C18:C23 C25:C26 C28 C30:C33 C37:C38 C41 C43 C47:C48 C50:C62 C65:C67 C69:C72 C74 C76 C82:C93">
    <cfRule type="cellIs" dxfId="0" priority="1" operator="equal">
      <formula>0</formula>
    </cfRule>
  </conditionalFormatting>
  <pageMargins left="0.31496062992125984" right="0" top="0.55118110236220474" bottom="0.35433070866141736" header="0.31496062992125984" footer="0.31496062992125984"/>
  <pageSetup scale="43" orientation="portrait" horizontalDpi="1200" r:id="rId1"/>
  <colBreaks count="1" manualBreakCount="1">
    <brk id="23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44"/>
  <sheetViews>
    <sheetView topLeftCell="A15" zoomScaleNormal="100" workbookViewId="0">
      <selection activeCell="H33" sqref="H33"/>
    </sheetView>
  </sheetViews>
  <sheetFormatPr baseColWidth="10" defaultColWidth="11.42578125" defaultRowHeight="15.75" x14ac:dyDescent="0.25"/>
  <cols>
    <col min="1" max="1" width="30" style="1" customWidth="1"/>
    <col min="2" max="2" width="22" style="1" bestFit="1" customWidth="1"/>
    <col min="3" max="3" width="20.85546875" style="1" customWidth="1"/>
    <col min="4" max="6" width="11.42578125" style="1"/>
    <col min="7" max="7" width="16.42578125" style="1" bestFit="1" customWidth="1"/>
    <col min="8" max="16384" width="11.42578125" style="1"/>
  </cols>
  <sheetData>
    <row r="2" spans="1:7" x14ac:dyDescent="0.25">
      <c r="B2" s="63"/>
    </row>
    <row r="3" spans="1:7" x14ac:dyDescent="0.25">
      <c r="B3" s="63"/>
    </row>
    <row r="4" spans="1:7" x14ac:dyDescent="0.25">
      <c r="A4" s="131"/>
      <c r="B4" s="131"/>
      <c r="C4" s="131"/>
      <c r="D4" s="131"/>
      <c r="E4" s="131"/>
    </row>
    <row r="5" spans="1:7" x14ac:dyDescent="0.25">
      <c r="A5" s="15" t="s">
        <v>591</v>
      </c>
      <c r="B5" s="235"/>
      <c r="C5" s="235"/>
      <c r="D5" s="235"/>
      <c r="E5" s="235"/>
    </row>
    <row r="6" spans="1:7" x14ac:dyDescent="0.25">
      <c r="A6" s="15" t="s">
        <v>721</v>
      </c>
      <c r="B6" s="235"/>
      <c r="C6" s="235"/>
      <c r="D6" s="235"/>
      <c r="E6" s="235"/>
      <c r="G6" s="2"/>
    </row>
    <row r="7" spans="1:7" ht="16.5" thickBot="1" x14ac:dyDescent="0.3">
      <c r="A7" s="15"/>
      <c r="B7" s="235"/>
      <c r="C7" s="235"/>
      <c r="D7" s="235"/>
      <c r="E7" s="235"/>
      <c r="G7" s="2"/>
    </row>
    <row r="8" spans="1:7" ht="18.75" customHeight="1" thickBot="1" x14ac:dyDescent="0.3">
      <c r="A8" s="239" t="s">
        <v>572</v>
      </c>
      <c r="B8" s="240" t="s">
        <v>271</v>
      </c>
      <c r="C8" s="51"/>
      <c r="G8" s="2"/>
    </row>
    <row r="9" spans="1:7" x14ac:dyDescent="0.25">
      <c r="A9" s="237" t="s">
        <v>592</v>
      </c>
      <c r="B9" s="238">
        <v>477860</v>
      </c>
      <c r="C9" s="51"/>
      <c r="G9" s="2"/>
    </row>
    <row r="10" spans="1:7" x14ac:dyDescent="0.25">
      <c r="A10" s="137" t="s">
        <v>593</v>
      </c>
      <c r="B10" s="236">
        <f>+'[1]Provision Regalia nav'!$H$7</f>
        <v>8399520</v>
      </c>
      <c r="C10" s="51"/>
      <c r="G10" s="2"/>
    </row>
    <row r="11" spans="1:7" ht="18" x14ac:dyDescent="0.4">
      <c r="A11" s="137" t="s">
        <v>594</v>
      </c>
      <c r="B11" s="241">
        <v>870000</v>
      </c>
      <c r="C11" s="51"/>
      <c r="G11" s="2"/>
    </row>
    <row r="12" spans="1:7" ht="18" x14ac:dyDescent="0.4">
      <c r="A12" s="234" t="s">
        <v>287</v>
      </c>
      <c r="B12" s="125">
        <f>SUM(B9:B11)</f>
        <v>9747380</v>
      </c>
      <c r="C12" s="51"/>
      <c r="G12" s="2"/>
    </row>
    <row r="13" spans="1:7" x14ac:dyDescent="0.25">
      <c r="A13" s="137"/>
      <c r="B13" s="236"/>
      <c r="C13" s="51"/>
      <c r="G13" s="2"/>
    </row>
    <row r="14" spans="1:7" x14ac:dyDescent="0.25">
      <c r="A14" s="63"/>
      <c r="B14" s="242"/>
      <c r="C14" s="51"/>
      <c r="G14" s="2"/>
    </row>
    <row r="15" spans="1:7" ht="16.5" thickBot="1" x14ac:dyDescent="0.3">
      <c r="A15" s="84" t="s">
        <v>595</v>
      </c>
      <c r="B15" s="63"/>
      <c r="C15" s="51"/>
      <c r="G15" s="2"/>
    </row>
    <row r="16" spans="1:7" ht="16.5" thickBot="1" x14ac:dyDescent="0.3">
      <c r="A16" s="1" t="s">
        <v>596</v>
      </c>
      <c r="B16" s="479">
        <f>+B12/12</f>
        <v>812281.66666666663</v>
      </c>
      <c r="G16" s="2"/>
    </row>
    <row r="17" spans="1:7" x14ac:dyDescent="0.25">
      <c r="A17" s="63"/>
      <c r="B17" s="51"/>
      <c r="C17" s="48"/>
      <c r="G17" s="2"/>
    </row>
    <row r="18" spans="1:7" x14ac:dyDescent="0.25">
      <c r="A18" s="1" t="s">
        <v>596</v>
      </c>
      <c r="B18" s="51">
        <f>+B16</f>
        <v>812281.66666666663</v>
      </c>
      <c r="C18" s="48"/>
      <c r="G18" s="2"/>
    </row>
    <row r="19" spans="1:7" x14ac:dyDescent="0.25">
      <c r="A19" s="63" t="s">
        <v>885</v>
      </c>
      <c r="B19" s="549">
        <v>739735.84</v>
      </c>
      <c r="C19" s="48"/>
      <c r="G19" s="2"/>
    </row>
    <row r="20" spans="1:7" ht="16.5" thickBot="1" x14ac:dyDescent="0.3">
      <c r="A20" s="131" t="s">
        <v>727</v>
      </c>
      <c r="B20" s="480">
        <f>+B18-B19</f>
        <v>72545.82666666666</v>
      </c>
      <c r="C20" s="48"/>
      <c r="G20" s="2"/>
    </row>
    <row r="21" spans="1:7" ht="45" customHeight="1" thickTop="1" thickBot="1" x14ac:dyDescent="0.3">
      <c r="A21" s="63"/>
      <c r="B21" s="51"/>
      <c r="C21" s="48"/>
      <c r="G21" s="2"/>
    </row>
    <row r="22" spans="1:7" ht="19.5" customHeight="1" thickBot="1" x14ac:dyDescent="0.3">
      <c r="A22" s="525" t="s">
        <v>771</v>
      </c>
      <c r="B22" s="526" t="s">
        <v>271</v>
      </c>
      <c r="C22" s="527" t="s">
        <v>772</v>
      </c>
      <c r="G22" s="2"/>
    </row>
    <row r="23" spans="1:7" x14ac:dyDescent="0.25">
      <c r="A23" s="1" t="s">
        <v>590</v>
      </c>
      <c r="B23" s="2">
        <f>+B16</f>
        <v>812281.66666666663</v>
      </c>
      <c r="C23" s="51">
        <f>+B23</f>
        <v>812281.66666666663</v>
      </c>
      <c r="G23" s="2"/>
    </row>
    <row r="24" spans="1:7" x14ac:dyDescent="0.25">
      <c r="A24" s="1" t="s">
        <v>597</v>
      </c>
      <c r="B24" s="2">
        <f>+B23</f>
        <v>812281.66666666663</v>
      </c>
      <c r="C24" s="51">
        <f>SUM(B23:B24)</f>
        <v>1624563.3333333333</v>
      </c>
    </row>
    <row r="25" spans="1:7" x14ac:dyDescent="0.25">
      <c r="A25" s="1" t="s">
        <v>580</v>
      </c>
      <c r="B25" s="2">
        <f>+B24</f>
        <v>812281.66666666663</v>
      </c>
      <c r="C25" s="51">
        <f>SUM(B23:B25)+0.01</f>
        <v>2436845.0099999998</v>
      </c>
    </row>
    <row r="26" spans="1:7" x14ac:dyDescent="0.25">
      <c r="A26" s="1" t="s">
        <v>581</v>
      </c>
      <c r="B26" s="2">
        <f>+B25</f>
        <v>812281.66666666663</v>
      </c>
      <c r="C26" s="2">
        <f>+C25+B26</f>
        <v>3249126.6766666663</v>
      </c>
    </row>
    <row r="27" spans="1:7" x14ac:dyDescent="0.25">
      <c r="A27" s="3" t="s">
        <v>582</v>
      </c>
      <c r="B27" s="26">
        <f>+B26</f>
        <v>812281.66666666663</v>
      </c>
      <c r="C27" s="26">
        <f>+C26+B27</f>
        <v>4061408.3433333328</v>
      </c>
    </row>
    <row r="28" spans="1:7" hidden="1" x14ac:dyDescent="0.25">
      <c r="A28" s="1" t="s">
        <v>583</v>
      </c>
      <c r="B28" s="2"/>
      <c r="C28" s="51"/>
    </row>
    <row r="29" spans="1:7" hidden="1" x14ac:dyDescent="0.25">
      <c r="A29" s="1" t="s">
        <v>584</v>
      </c>
      <c r="B29" s="2"/>
      <c r="C29" s="51"/>
    </row>
    <row r="30" spans="1:7" hidden="1" x14ac:dyDescent="0.25">
      <c r="A30" s="1" t="s">
        <v>585</v>
      </c>
      <c r="B30" s="2"/>
      <c r="C30" s="51"/>
    </row>
    <row r="31" spans="1:7" hidden="1" x14ac:dyDescent="0.25">
      <c r="A31" s="1" t="s">
        <v>586</v>
      </c>
      <c r="B31" s="2"/>
      <c r="C31" s="51"/>
    </row>
    <row r="32" spans="1:7" hidden="1" x14ac:dyDescent="0.25">
      <c r="A32" s="1" t="s">
        <v>587</v>
      </c>
      <c r="B32" s="2"/>
      <c r="C32" s="51"/>
    </row>
    <row r="33" spans="1:4" hidden="1" x14ac:dyDescent="0.25">
      <c r="A33" s="1" t="s">
        <v>588</v>
      </c>
      <c r="B33" s="2"/>
      <c r="C33" s="51"/>
    </row>
    <row r="34" spans="1:4" hidden="1" x14ac:dyDescent="0.25">
      <c r="A34" s="3" t="s">
        <v>714</v>
      </c>
      <c r="B34" s="26"/>
      <c r="C34" s="51"/>
    </row>
    <row r="35" spans="1:4" ht="16.5" thickBot="1" x14ac:dyDescent="0.3">
      <c r="A35" s="262" t="s">
        <v>589</v>
      </c>
      <c r="B35" s="263">
        <f>SUM(B23:B34)</f>
        <v>4061408.333333333</v>
      </c>
    </row>
    <row r="36" spans="1:4" ht="16.5" thickTop="1" x14ac:dyDescent="0.25">
      <c r="A36" s="63"/>
      <c r="B36" s="63"/>
      <c r="C36" s="2"/>
      <c r="D36" s="51"/>
    </row>
    <row r="44" spans="1:4" x14ac:dyDescent="0.25">
      <c r="C44" s="18"/>
    </row>
  </sheetData>
  <phoneticPr fontId="59" type="noConversion"/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020-B7FC-4810-BA6C-C89B01CB0D08}">
  <dimension ref="A2:E64"/>
  <sheetViews>
    <sheetView topLeftCell="A7" zoomScaleNormal="100" workbookViewId="0">
      <selection activeCell="H33" sqref="H33"/>
    </sheetView>
  </sheetViews>
  <sheetFormatPr baseColWidth="10" defaultColWidth="11.42578125" defaultRowHeight="24.75" customHeight="1" x14ac:dyDescent="0.25"/>
  <cols>
    <col min="1" max="1" width="61.85546875" style="1" customWidth="1"/>
    <col min="2" max="2" width="23.7109375" style="1" customWidth="1"/>
    <col min="3" max="3" width="15.28515625" style="1" bestFit="1" customWidth="1"/>
    <col min="4" max="4" width="23.85546875" style="1" customWidth="1"/>
    <col min="5" max="5" width="16.42578125" style="1" bestFit="1" customWidth="1"/>
    <col min="6" max="16384" width="11.42578125" style="1"/>
  </cols>
  <sheetData>
    <row r="2" spans="1:4" ht="24.75" customHeight="1" x14ac:dyDescent="0.25">
      <c r="A2" s="15"/>
      <c r="B2" s="15"/>
    </row>
    <row r="3" spans="1:4" ht="24.75" customHeight="1" x14ac:dyDescent="0.25">
      <c r="A3" s="15"/>
      <c r="B3" s="15"/>
    </row>
    <row r="4" spans="1:4" ht="24.75" customHeight="1" x14ac:dyDescent="0.25">
      <c r="A4" s="625" t="s">
        <v>598</v>
      </c>
      <c r="B4" s="625"/>
    </row>
    <row r="5" spans="1:4" ht="24.75" customHeight="1" x14ac:dyDescent="0.25">
      <c r="A5" s="625" t="s">
        <v>268</v>
      </c>
      <c r="B5" s="625"/>
    </row>
    <row r="6" spans="1:4" ht="24.75" customHeight="1" x14ac:dyDescent="0.25">
      <c r="A6" s="625" t="s">
        <v>599</v>
      </c>
      <c r="B6" s="625"/>
    </row>
    <row r="7" spans="1:4" ht="24.75" customHeight="1" x14ac:dyDescent="0.25">
      <c r="A7" s="635">
        <v>45808</v>
      </c>
      <c r="B7" s="635"/>
    </row>
    <row r="8" spans="1:4" ht="24.75" customHeight="1" thickBot="1" x14ac:dyDescent="0.3">
      <c r="A8" s="66"/>
    </row>
    <row r="9" spans="1:4" ht="24.75" customHeight="1" thickBot="1" x14ac:dyDescent="0.3">
      <c r="A9" s="153" t="s">
        <v>254</v>
      </c>
      <c r="B9" s="154" t="s">
        <v>271</v>
      </c>
    </row>
    <row r="10" spans="1:4" ht="24.75" customHeight="1" x14ac:dyDescent="0.3">
      <c r="A10" s="155" t="s">
        <v>600</v>
      </c>
      <c r="B10" s="282">
        <v>129981.69</v>
      </c>
      <c r="D10" s="503"/>
    </row>
    <row r="11" spans="1:4" ht="24.75" customHeight="1" x14ac:dyDescent="0.25">
      <c r="A11" s="73" t="s">
        <v>902</v>
      </c>
      <c r="B11" s="226">
        <f>1636169.1+1230.19</f>
        <v>1637399.29</v>
      </c>
      <c r="D11" s="617">
        <v>1637399.29</v>
      </c>
    </row>
    <row r="12" spans="1:4" ht="24.75" hidden="1" customHeight="1" x14ac:dyDescent="0.25">
      <c r="A12" s="73" t="s">
        <v>844</v>
      </c>
      <c r="B12" s="226"/>
    </row>
    <row r="13" spans="1:4" ht="24.75" customHeight="1" x14ac:dyDescent="0.25">
      <c r="A13" s="73" t="s">
        <v>601</v>
      </c>
      <c r="B13" s="226">
        <v>31736.5</v>
      </c>
    </row>
    <row r="14" spans="1:4" ht="24.75" customHeight="1" x14ac:dyDescent="0.25">
      <c r="A14" s="73" t="s">
        <v>602</v>
      </c>
      <c r="B14" s="222">
        <v>1556.76</v>
      </c>
    </row>
    <row r="15" spans="1:4" ht="24.75" customHeight="1" x14ac:dyDescent="0.4">
      <c r="A15" s="73" t="s">
        <v>603</v>
      </c>
      <c r="B15" s="576">
        <v>15567.61</v>
      </c>
      <c r="D15" s="2"/>
    </row>
    <row r="16" spans="1:4" ht="24.75" customHeight="1" x14ac:dyDescent="0.4">
      <c r="A16" s="78" t="s">
        <v>343</v>
      </c>
      <c r="B16" s="577">
        <f>SUM(B10:B15)</f>
        <v>1816241.85</v>
      </c>
      <c r="D16" s="18"/>
    </row>
    <row r="17" spans="1:3" ht="24.75" customHeight="1" thickBot="1" x14ac:dyDescent="0.3">
      <c r="A17" s="91"/>
      <c r="B17" s="283"/>
    </row>
    <row r="18" spans="1:3" ht="24.75" customHeight="1" x14ac:dyDescent="0.25">
      <c r="A18" s="15"/>
      <c r="B18" s="15"/>
    </row>
    <row r="19" spans="1:3" ht="24.75" customHeight="1" x14ac:dyDescent="0.25">
      <c r="A19" s="15"/>
      <c r="B19" s="311"/>
      <c r="C19" s="18"/>
    </row>
    <row r="20" spans="1:3" ht="24.75" customHeight="1" x14ac:dyDescent="0.25">
      <c r="A20" s="15"/>
      <c r="B20" s="311"/>
      <c r="C20" s="18"/>
    </row>
    <row r="21" spans="1:3" ht="24.75" customHeight="1" x14ac:dyDescent="0.25">
      <c r="A21" s="15"/>
      <c r="B21" s="311" t="s">
        <v>0</v>
      </c>
      <c r="C21" s="18"/>
    </row>
    <row r="22" spans="1:3" ht="24.75" customHeight="1" x14ac:dyDescent="0.25">
      <c r="A22" s="15"/>
      <c r="B22" s="311"/>
      <c r="C22" s="18"/>
    </row>
    <row r="23" spans="1:3" ht="24.75" customHeight="1" x14ac:dyDescent="0.25">
      <c r="A23" s="15"/>
      <c r="B23" s="311"/>
      <c r="C23" s="18"/>
    </row>
    <row r="24" spans="1:3" ht="24.75" customHeight="1" x14ac:dyDescent="0.25">
      <c r="A24" s="625" t="str">
        <f>+A4</f>
        <v>NOTA 12</v>
      </c>
      <c r="B24" s="625"/>
    </row>
    <row r="25" spans="1:3" ht="24.75" customHeight="1" x14ac:dyDescent="0.25">
      <c r="A25" s="625" t="str">
        <f>+A5</f>
        <v>Cédula de detalle de cuentas</v>
      </c>
      <c r="B25" s="625"/>
    </row>
    <row r="26" spans="1:3" ht="24.75" customHeight="1" x14ac:dyDescent="0.25">
      <c r="A26" s="625" t="s">
        <v>602</v>
      </c>
      <c r="B26" s="625"/>
    </row>
    <row r="27" spans="1:3" ht="24.75" customHeight="1" x14ac:dyDescent="0.25">
      <c r="A27" s="635">
        <v>45808</v>
      </c>
      <c r="B27" s="635"/>
    </row>
    <row r="28" spans="1:3" ht="24.75" customHeight="1" thickBot="1" x14ac:dyDescent="0.3">
      <c r="A28" s="66"/>
    </row>
    <row r="29" spans="1:3" ht="24.75" customHeight="1" thickBot="1" x14ac:dyDescent="0.3">
      <c r="A29" s="68" t="s">
        <v>254</v>
      </c>
      <c r="B29" s="70" t="s">
        <v>271</v>
      </c>
    </row>
    <row r="30" spans="1:3" ht="24.75" hidden="1" customHeight="1" x14ac:dyDescent="0.25">
      <c r="A30" s="71" t="s">
        <v>557</v>
      </c>
      <c r="B30" s="75"/>
    </row>
    <row r="31" spans="1:3" ht="24.75" hidden="1" customHeight="1" x14ac:dyDescent="0.25">
      <c r="A31" s="71" t="s">
        <v>716</v>
      </c>
      <c r="B31" s="75"/>
    </row>
    <row r="32" spans="1:3" ht="24.75" customHeight="1" x14ac:dyDescent="0.25">
      <c r="A32" s="71" t="s">
        <v>342</v>
      </c>
      <c r="B32" s="75">
        <v>829.86</v>
      </c>
    </row>
    <row r="33" spans="1:4" ht="24.75" customHeight="1" x14ac:dyDescent="0.4">
      <c r="A33" s="71" t="s">
        <v>899</v>
      </c>
      <c r="B33" s="77">
        <v>726.9</v>
      </c>
    </row>
    <row r="34" spans="1:4" ht="24.75" customHeight="1" x14ac:dyDescent="0.4">
      <c r="A34" s="73"/>
      <c r="B34" s="80">
        <f>SUM(B32:B33)</f>
        <v>1556.76</v>
      </c>
    </row>
    <row r="35" spans="1:4" ht="24.75" customHeight="1" thickBot="1" x14ac:dyDescent="0.3">
      <c r="A35" s="81"/>
      <c r="B35" s="230">
        <f>+B14-B34</f>
        <v>0</v>
      </c>
    </row>
    <row r="36" spans="1:4" ht="24.75" customHeight="1" x14ac:dyDescent="0.25">
      <c r="B36" s="228"/>
    </row>
    <row r="37" spans="1:4" ht="24.75" customHeight="1" x14ac:dyDescent="0.25">
      <c r="A37" s="15"/>
      <c r="B37" s="15"/>
    </row>
    <row r="38" spans="1:4" ht="24.75" customHeight="1" x14ac:dyDescent="0.25">
      <c r="A38" s="625" t="str">
        <f>+A4</f>
        <v>NOTA 12</v>
      </c>
      <c r="B38" s="625"/>
      <c r="D38" s="2"/>
    </row>
    <row r="39" spans="1:4" ht="24.75" customHeight="1" x14ac:dyDescent="0.25">
      <c r="A39" s="625" t="str">
        <f>+A5</f>
        <v>Cédula de detalle de cuentas</v>
      </c>
      <c r="B39" s="625"/>
      <c r="D39" s="2"/>
    </row>
    <row r="40" spans="1:4" ht="24.75" customHeight="1" x14ac:dyDescent="0.25">
      <c r="A40" s="625" t="s">
        <v>603</v>
      </c>
      <c r="B40" s="625"/>
      <c r="D40" s="2"/>
    </row>
    <row r="41" spans="1:4" ht="24.75" customHeight="1" x14ac:dyDescent="0.25">
      <c r="A41" s="635">
        <v>45808</v>
      </c>
      <c r="B41" s="635"/>
      <c r="D41" s="2"/>
    </row>
    <row r="42" spans="1:4" ht="24.75" customHeight="1" thickBot="1" x14ac:dyDescent="0.3">
      <c r="A42" s="66"/>
      <c r="B42" s="45"/>
      <c r="D42" s="2"/>
    </row>
    <row r="43" spans="1:4" ht="24.75" customHeight="1" thickBot="1" x14ac:dyDescent="0.3">
      <c r="A43" s="68" t="s">
        <v>254</v>
      </c>
      <c r="B43" s="70" t="s">
        <v>271</v>
      </c>
      <c r="D43" s="2"/>
    </row>
    <row r="44" spans="1:4" ht="24.75" hidden="1" customHeight="1" x14ac:dyDescent="0.25">
      <c r="A44" s="71" t="s">
        <v>557</v>
      </c>
      <c r="B44" s="75"/>
      <c r="D44" s="2"/>
    </row>
    <row r="45" spans="1:4" ht="24.75" hidden="1" customHeight="1" x14ac:dyDescent="0.25">
      <c r="A45" s="71" t="s">
        <v>716</v>
      </c>
      <c r="B45" s="75"/>
      <c r="D45" s="2"/>
    </row>
    <row r="46" spans="1:4" ht="24.75" customHeight="1" x14ac:dyDescent="0.25">
      <c r="A46" s="71" t="s">
        <v>342</v>
      </c>
      <c r="B46" s="75">
        <v>8298.57</v>
      </c>
      <c r="D46" s="2"/>
    </row>
    <row r="47" spans="1:4" ht="24.75" customHeight="1" x14ac:dyDescent="0.4">
      <c r="A47" s="71" t="s">
        <v>899</v>
      </c>
      <c r="B47" s="77">
        <v>7269.04</v>
      </c>
      <c r="D47" s="2"/>
    </row>
    <row r="48" spans="1:4" ht="24.75" customHeight="1" x14ac:dyDescent="0.4">
      <c r="A48" s="73"/>
      <c r="B48" s="80">
        <f>SUM(B46:B47)</f>
        <v>15567.61</v>
      </c>
      <c r="D48" s="2"/>
    </row>
    <row r="49" spans="1:5" ht="24.75" customHeight="1" thickBot="1" x14ac:dyDescent="0.3">
      <c r="A49" s="81"/>
      <c r="B49" s="230">
        <f>+B15-B48</f>
        <v>0</v>
      </c>
      <c r="D49" s="2"/>
    </row>
    <row r="50" spans="1:5" ht="24.75" customHeight="1" x14ac:dyDescent="0.25">
      <c r="B50" s="228"/>
      <c r="D50" s="2"/>
    </row>
    <row r="51" spans="1:5" ht="24.75" customHeight="1" x14ac:dyDescent="0.25">
      <c r="A51" s="15"/>
      <c r="B51" s="15"/>
      <c r="D51" s="2">
        <v>1683567.24</v>
      </c>
      <c r="E51" s="2">
        <v>1599982.25</v>
      </c>
    </row>
    <row r="52" spans="1:5" ht="24.75" customHeight="1" x14ac:dyDescent="0.25">
      <c r="D52" s="2">
        <v>1222924.29</v>
      </c>
    </row>
    <row r="53" spans="1:5" ht="24.75" customHeight="1" thickBot="1" x14ac:dyDescent="0.3">
      <c r="A53" s="15"/>
      <c r="B53" s="15"/>
      <c r="D53" s="562">
        <f>SUM(D51:D52)</f>
        <v>2906491.5300000003</v>
      </c>
      <c r="E53" s="562">
        <f>SUM(E51:E52)</f>
        <v>1599982.25</v>
      </c>
    </row>
    <row r="54" spans="1:5" ht="24.75" customHeight="1" thickTop="1" x14ac:dyDescent="0.25">
      <c r="A54" s="625" t="s">
        <v>598</v>
      </c>
      <c r="B54" s="625"/>
      <c r="D54" s="2"/>
    </row>
    <row r="55" spans="1:5" ht="24.75" customHeight="1" x14ac:dyDescent="0.25">
      <c r="A55" s="625" t="s">
        <v>268</v>
      </c>
      <c r="B55" s="625"/>
      <c r="D55" s="2"/>
    </row>
    <row r="56" spans="1:5" ht="24.75" customHeight="1" x14ac:dyDescent="0.25">
      <c r="A56" s="625" t="s">
        <v>843</v>
      </c>
      <c r="B56" s="625"/>
      <c r="D56" s="2"/>
    </row>
    <row r="57" spans="1:5" ht="24.75" customHeight="1" x14ac:dyDescent="0.25">
      <c r="A57" s="635">
        <v>45808</v>
      </c>
      <c r="B57" s="635"/>
    </row>
    <row r="58" spans="1:5" ht="24.75" customHeight="1" thickBot="1" x14ac:dyDescent="0.3">
      <c r="A58" s="66"/>
      <c r="B58" s="45"/>
    </row>
    <row r="59" spans="1:5" ht="24.75" customHeight="1" thickBot="1" x14ac:dyDescent="0.3">
      <c r="A59" s="68" t="s">
        <v>254</v>
      </c>
      <c r="B59" s="70" t="s">
        <v>271</v>
      </c>
    </row>
    <row r="60" spans="1:5" ht="24.75" customHeight="1" x14ac:dyDescent="0.25">
      <c r="A60" s="71" t="s">
        <v>841</v>
      </c>
      <c r="B60" s="75"/>
    </row>
    <row r="61" spans="1:5" ht="24.75" customHeight="1" x14ac:dyDescent="0.4">
      <c r="A61" s="71" t="s">
        <v>842</v>
      </c>
      <c r="B61" s="77"/>
    </row>
    <row r="62" spans="1:5" ht="24.75" customHeight="1" x14ac:dyDescent="0.4">
      <c r="A62" s="73"/>
      <c r="B62" s="80">
        <f>SUM(B60:B61)</f>
        <v>0</v>
      </c>
      <c r="D62" s="18"/>
    </row>
    <row r="63" spans="1:5" ht="24.75" customHeight="1" thickBot="1" x14ac:dyDescent="0.3">
      <c r="A63" s="81"/>
      <c r="B63" s="231"/>
    </row>
    <row r="64" spans="1:5" ht="24.75" customHeight="1" x14ac:dyDescent="0.25">
      <c r="B64" s="228"/>
    </row>
  </sheetData>
  <mergeCells count="16">
    <mergeCell ref="A57:B57"/>
    <mergeCell ref="A55:B55"/>
    <mergeCell ref="A54:B54"/>
    <mergeCell ref="A56:B56"/>
    <mergeCell ref="A4:B4"/>
    <mergeCell ref="A5:B5"/>
    <mergeCell ref="A6:B6"/>
    <mergeCell ref="A7:B7"/>
    <mergeCell ref="A38:B38"/>
    <mergeCell ref="A39:B39"/>
    <mergeCell ref="A40:B40"/>
    <mergeCell ref="A41:B41"/>
    <mergeCell ref="A24:B24"/>
    <mergeCell ref="A25:B25"/>
    <mergeCell ref="A26:B26"/>
    <mergeCell ref="A27:B27"/>
  </mergeCells>
  <pageMargins left="0.9055118110236221" right="0.70866141732283472" top="0.74803149606299213" bottom="0.74803149606299213" header="0.31496062992125984" footer="0.31496062992125984"/>
  <pageSetup orientation="portrait" r:id="rId1"/>
  <rowBreaks count="1" manualBreakCount="1">
    <brk id="20" max="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19"/>
  <sheetViews>
    <sheetView zoomScaleNormal="100" workbookViewId="0">
      <selection activeCell="E21" sqref="E21"/>
    </sheetView>
  </sheetViews>
  <sheetFormatPr baseColWidth="10" defaultColWidth="9.140625" defaultRowHeight="24.75" customHeight="1" x14ac:dyDescent="0.25"/>
  <cols>
    <col min="1" max="1" width="45.7109375" style="1" customWidth="1"/>
    <col min="2" max="2" width="23.42578125" style="1" customWidth="1"/>
    <col min="3" max="3" width="9.140625" style="1"/>
    <col min="4" max="4" width="19" style="1" bestFit="1" customWidth="1"/>
    <col min="5" max="16384" width="9.140625" style="1"/>
  </cols>
  <sheetData>
    <row r="2" spans="1:4" ht="24.75" customHeight="1" x14ac:dyDescent="0.25">
      <c r="A2" s="625"/>
      <c r="B2" s="625"/>
    </row>
    <row r="3" spans="1:4" ht="24.75" customHeight="1" x14ac:dyDescent="0.25">
      <c r="A3" s="625" t="s">
        <v>604</v>
      </c>
      <c r="B3" s="625"/>
    </row>
    <row r="4" spans="1:4" ht="24.75" customHeight="1" x14ac:dyDescent="0.25">
      <c r="A4" s="625" t="s">
        <v>268</v>
      </c>
      <c r="B4" s="625"/>
    </row>
    <row r="5" spans="1:4" ht="24.75" customHeight="1" x14ac:dyDescent="0.25">
      <c r="A5" s="625" t="s">
        <v>605</v>
      </c>
      <c r="B5" s="625"/>
    </row>
    <row r="6" spans="1:4" ht="24.75" customHeight="1" x14ac:dyDescent="0.25">
      <c r="A6" s="635">
        <v>45808</v>
      </c>
      <c r="B6" s="635"/>
    </row>
    <row r="7" spans="1:4" ht="24.75" customHeight="1" thickBot="1" x14ac:dyDescent="0.3"/>
    <row r="8" spans="1:4" ht="24.75" customHeight="1" thickBot="1" x14ac:dyDescent="0.3">
      <c r="A8" s="68" t="s">
        <v>254</v>
      </c>
      <c r="B8" s="70" t="s">
        <v>271</v>
      </c>
      <c r="D8" s="28"/>
    </row>
    <row r="9" spans="1:4" ht="24.75" customHeight="1" x14ac:dyDescent="0.25">
      <c r="A9" s="57" t="s">
        <v>754</v>
      </c>
      <c r="B9" s="530">
        <v>94144294.680000007</v>
      </c>
      <c r="D9" s="612"/>
    </row>
    <row r="10" spans="1:4" ht="24.75" hidden="1" customHeight="1" x14ac:dyDescent="0.4">
      <c r="A10" s="57" t="s">
        <v>900</v>
      </c>
      <c r="B10" s="232"/>
      <c r="D10" s="336"/>
    </row>
    <row r="11" spans="1:4" ht="24.75" hidden="1" customHeight="1" x14ac:dyDescent="0.4">
      <c r="A11" s="57" t="s">
        <v>109</v>
      </c>
      <c r="B11" s="232"/>
      <c r="D11" s="336"/>
    </row>
    <row r="12" spans="1:4" ht="24.75" customHeight="1" x14ac:dyDescent="0.4">
      <c r="A12" s="233" t="s">
        <v>504</v>
      </c>
      <c r="B12" s="88">
        <f>SUM(B9:B11)</f>
        <v>94144294.680000007</v>
      </c>
      <c r="D12" s="558"/>
    </row>
    <row r="13" spans="1:4" ht="24.75" customHeight="1" x14ac:dyDescent="0.25">
      <c r="A13" s="113"/>
      <c r="B13" s="113"/>
    </row>
    <row r="15" spans="1:4" ht="24.75" customHeight="1" x14ac:dyDescent="0.25">
      <c r="B15" s="351"/>
      <c r="C15" s="498"/>
    </row>
    <row r="16" spans="1:4" ht="24.75" customHeight="1" x14ac:dyDescent="0.25">
      <c r="B16" s="2"/>
    </row>
    <row r="17" spans="1:2" ht="24.75" customHeight="1" x14ac:dyDescent="0.25">
      <c r="B17" s="2"/>
    </row>
    <row r="19" spans="1:2" ht="24.75" customHeight="1" x14ac:dyDescent="0.25">
      <c r="A19" s="625"/>
      <c r="B19" s="625"/>
    </row>
  </sheetData>
  <mergeCells count="6">
    <mergeCell ref="A19:B19"/>
    <mergeCell ref="A3:B3"/>
    <mergeCell ref="A5:B5"/>
    <mergeCell ref="A6:B6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6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zoomScale="140" zoomScaleNormal="140" workbookViewId="0">
      <selection activeCell="H33" sqref="H33"/>
    </sheetView>
  </sheetViews>
  <sheetFormatPr baseColWidth="10" defaultColWidth="11.42578125" defaultRowHeight="12.75" x14ac:dyDescent="0.2"/>
  <sheetData>
    <row r="1" spans="1:2" x14ac:dyDescent="0.2">
      <c r="B1" t="s">
        <v>606</v>
      </c>
    </row>
    <row r="3" spans="1:2" x14ac:dyDescent="0.2">
      <c r="A3">
        <v>1</v>
      </c>
      <c r="B3" t="s">
        <v>607</v>
      </c>
    </row>
    <row r="4" spans="1:2" x14ac:dyDescent="0.2">
      <c r="A4">
        <v>2</v>
      </c>
      <c r="B4" t="s">
        <v>608</v>
      </c>
    </row>
    <row r="5" spans="1:2" x14ac:dyDescent="0.2">
      <c r="A5">
        <v>3</v>
      </c>
      <c r="B5" t="s">
        <v>609</v>
      </c>
    </row>
    <row r="6" spans="1:2" x14ac:dyDescent="0.2">
      <c r="A6">
        <v>4</v>
      </c>
      <c r="B6" t="s">
        <v>610</v>
      </c>
    </row>
    <row r="7" spans="1:2" x14ac:dyDescent="0.2">
      <c r="A7">
        <v>5</v>
      </c>
      <c r="B7" t="s">
        <v>611</v>
      </c>
    </row>
    <row r="8" spans="1:2" x14ac:dyDescent="0.2">
      <c r="A8">
        <v>6</v>
      </c>
      <c r="B8" t="s">
        <v>612</v>
      </c>
    </row>
    <row r="9" spans="1:2" x14ac:dyDescent="0.2">
      <c r="A9">
        <v>7</v>
      </c>
      <c r="B9" t="s">
        <v>613</v>
      </c>
    </row>
    <row r="10" spans="1:2" x14ac:dyDescent="0.2">
      <c r="A10">
        <v>8</v>
      </c>
      <c r="B10" s="285" t="s">
        <v>614</v>
      </c>
    </row>
    <row r="11" spans="1:2" x14ac:dyDescent="0.2">
      <c r="A11">
        <v>9</v>
      </c>
      <c r="B11" t="s">
        <v>615</v>
      </c>
    </row>
    <row r="12" spans="1:2" x14ac:dyDescent="0.2">
      <c r="A12">
        <v>10</v>
      </c>
      <c r="B12" t="s">
        <v>616</v>
      </c>
    </row>
    <row r="13" spans="1:2" x14ac:dyDescent="0.2">
      <c r="A13">
        <v>11</v>
      </c>
      <c r="B13" s="285" t="s">
        <v>617</v>
      </c>
    </row>
    <row r="14" spans="1:2" x14ac:dyDescent="0.2">
      <c r="A14">
        <v>12</v>
      </c>
      <c r="B14" t="s">
        <v>618</v>
      </c>
    </row>
    <row r="16" spans="1:2" x14ac:dyDescent="0.2">
      <c r="B16" t="s">
        <v>619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87603-E1DF-40ED-A8CE-010332182A79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829fe298-b51a-4ddb-9231-b6d9f99174b5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77A07C8-5475-466D-B7FF-0106440C5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25</vt:i4>
      </vt:variant>
    </vt:vector>
  </HeadingPairs>
  <TitlesOfParts>
    <vt:vector size="59" baseType="lpstr">
      <vt:lpstr>Estado Situación</vt:lpstr>
      <vt:lpstr>Estado de Resultados</vt:lpstr>
      <vt:lpstr>A-SITUACION ANEXOS</vt:lpstr>
      <vt:lpstr>NOTA 14-CAPITAL</vt:lpstr>
      <vt:lpstr>A-RESULTADOS ANEXOS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LIC ALDABA LINKEDIN</vt:lpstr>
      <vt:lpstr>NOTA 5 - LIC MS 365 AMORTIZ</vt:lpstr>
      <vt:lpstr>NOTA 5 LICENCIAS JIRA</vt:lpstr>
      <vt:lpstr>NOTA 5 LIC ANTIDESASTRES</vt:lpstr>
      <vt:lpstr>NOTA 5 Licencias Adobe</vt:lpstr>
      <vt:lpstr>NOTA 6-DIVIDENDOS</vt:lpstr>
      <vt:lpstr>NOTA 7-AVANCES A FUTURAS CAPIT</vt:lpstr>
      <vt:lpstr>Tabacalera</vt:lpstr>
      <vt:lpstr>NOTA 8-MOBILIARIO Y EQUIPOS, NE</vt:lpstr>
      <vt:lpstr>NOTA 9-CEDULAS CxP PROVEEDORES </vt:lpstr>
      <vt:lpstr>NOTA 10-CEDULAS CxP CONTRATISTA</vt:lpstr>
      <vt:lpstr>NOTA 11-GASTOS PERSONAL X PAGAR</vt:lpstr>
      <vt:lpstr>NOTA 11-BONIFICACION</vt:lpstr>
      <vt:lpstr>NOTA 11-VACACIONES</vt:lpstr>
      <vt:lpstr>NOTA 11-REGALIA</vt:lpstr>
      <vt:lpstr>NOTA 12-RETENCIONES X PAGAR</vt:lpstr>
      <vt:lpstr>NOTA 13-OTRAS CXP</vt:lpstr>
      <vt:lpstr>Hoja5</vt:lpstr>
      <vt:lpstr>'A-RESULTADOS ANEXOS'!Área_de_impresión</vt:lpstr>
      <vt:lpstr>'A-SITUACION ANEXOS'!Área_de_impresión</vt:lpstr>
      <vt:lpstr>'Cédula Nota 1'!Área_de_impresión</vt:lpstr>
      <vt:lpstr>'Cédula Nota 2 '!Área_de_impresión</vt:lpstr>
      <vt:lpstr>'Estado de Resultados'!Área_de_impresión</vt:lpstr>
      <vt:lpstr>'Estado Situación'!Área_de_impresión</vt:lpstr>
      <vt:lpstr>'NOTA 10-CEDULAS CxP CONTRATISTA'!Área_de_impresión</vt:lpstr>
      <vt:lpstr>'NOTA 11-BONIFICACION'!Área_de_impresión</vt:lpstr>
      <vt:lpstr>'NOTA 11-GASTOS PERSONAL X PAGAR'!Área_de_impresión</vt:lpstr>
      <vt:lpstr>'NOTA 12-RETENCIONES X PAGAR'!Área_de_impresión</vt:lpstr>
      <vt:lpstr>'NOTA 13-OTRAS CXP'!Área_de_impresión</vt:lpstr>
      <vt:lpstr>'NOTA 14-CAPITAL'!Área_de_impresión</vt:lpstr>
      <vt:lpstr>'NOTA 3-ANTIC COMP Y OTRAS'!Área_de_impresión</vt:lpstr>
      <vt:lpstr>'NOTA 3-C X C'!Área_de_impresión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7-AVANCES A FUTURAS CAPIT'!Área_de_impresión</vt:lpstr>
      <vt:lpstr>'NOTA 8-MOBILIARIO Y EQUIPOS, NE'!Área_de_impresión</vt:lpstr>
      <vt:lpstr>'NOTA 9-CEDULAS CxP PROVEEDORES '!Área_de_impresión</vt:lpstr>
      <vt:lpstr>'A-RESULTADOS ANEXOS'!Títulos_a_imprimir</vt:lpstr>
      <vt:lpstr>'A-SITUACION ANEXOS'!Títulos_a_imprimir</vt:lpstr>
      <vt:lpstr>'NOTA 11-VACACIONES'!Títulos_a_imprimir</vt:lpstr>
      <vt:lpstr>'NOTA 3-C-CONST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2025-06-13T18:56:22Z</cp:lastPrinted>
  <dcterms:created xsi:type="dcterms:W3CDTF">2008-09-03T15:34:54Z</dcterms:created>
  <dcterms:modified xsi:type="dcterms:W3CDTF">2025-06-17T15:13:30Z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  <property fmtid="{D5CDD505-2E9C-101B-9397-08002B2CF9AE}" pid="6" name="MediaServiceImageTags">
    <vt:lpwstr/>
  </property>
</Properties>
</file>