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fonpercloud-my.sharepoint.com/personal/smartinez_fonper_gov_do/Documents/Escritorio/"/>
    </mc:Choice>
  </mc:AlternateContent>
  <xr:revisionPtr revIDLastSave="915" documentId="8_{9296E28C-DC07-4E10-9917-E3E73BFB00D0}" xr6:coauthVersionLast="47" xr6:coauthVersionMax="47" xr10:uidLastSave="{680BBA7E-FF13-4173-AC25-E31E627B235E}"/>
  <bookViews>
    <workbookView xWindow="28680" yWindow="-120" windowWidth="29040" windowHeight="15720" tabRatio="840" xr2:uid="{00000000-000D-0000-FFFF-FFFF00000000}"/>
  </bookViews>
  <sheets>
    <sheet name="Estado Situación" sheetId="2" r:id="rId1"/>
    <sheet name="Estado de Resultados" sheetId="1" r:id="rId2"/>
    <sheet name="A-SITUACION ANEXOS" sheetId="19" r:id="rId3"/>
    <sheet name="NOTA 14-CAPITAL" sheetId="16" r:id="rId4"/>
    <sheet name="A-RESULTADOS ANEXOS" sheetId="34" r:id="rId5"/>
    <sheet name="Cédula Nota 1" sheetId="31" state="hidden" r:id="rId6"/>
    <sheet name="Cédula Nota 2 " sheetId="26" state="hidden" r:id="rId7"/>
    <sheet name="Nota 3 Resumen" sheetId="40" state="hidden" r:id="rId8"/>
    <sheet name="NOTA 3-C-CONST " sheetId="7" state="hidden" r:id="rId9"/>
    <sheet name="NOTA 3-ANTIC COMP Y OTRAS" sheetId="13" state="hidden" r:id="rId10"/>
    <sheet name="NOTA 3-Intereses" sheetId="45" state="hidden" r:id="rId11"/>
    <sheet name="Nota 3 CxC Emplead" sheetId="41" state="hidden" r:id="rId12"/>
    <sheet name="NOTA 3-C X C" sheetId="22" state="hidden" r:id="rId13"/>
    <sheet name="NOTA 4  INVENTARIO" sheetId="37" state="hidden" r:id="rId14"/>
    <sheet name="NOTA 5  GPA" sheetId="39" state="hidden" r:id="rId15"/>
    <sheet name="NOTA 5-SEG PAG X ANT" sheetId="23" state="hidden" r:id="rId16"/>
    <sheet name="NOTA 5 LIC ALDABA LINKEDIN" sheetId="55" state="hidden" r:id="rId17"/>
    <sheet name="NOTA 5 - LIC MS 365 AMORTIZ" sheetId="38" state="hidden" r:id="rId18"/>
    <sheet name="NOTA 5 LICENCIAS JIRA" sheetId="46" state="hidden" r:id="rId19"/>
    <sheet name="NOTA 5 LIC ANTIDESASTRES" sheetId="54" state="hidden" r:id="rId20"/>
    <sheet name="NOTA 5 Licencias Adobe" sheetId="47" state="hidden" r:id="rId21"/>
    <sheet name="NOTA 6-DIVIDENDOS" sheetId="32" state="hidden" r:id="rId22"/>
    <sheet name="NOTA 7-AVANCES A FUTURAS CAPIT" sheetId="51" state="hidden" r:id="rId23"/>
    <sheet name="Tabacalera" sheetId="53" state="hidden" r:id="rId24"/>
    <sheet name="NOTA 8-MOBILIARIO Y EQUIPOS, NE" sheetId="29" state="hidden" r:id="rId25"/>
    <sheet name="NOTA 9-CEDULAS CxP PROVEEDORES " sheetId="25" state="hidden" r:id="rId26"/>
    <sheet name="NOTA 10-CEDULAS CxP CONTRATISTA" sheetId="52" state="hidden" r:id="rId27"/>
    <sheet name="NOTA 11-GASTOS PERSONAL X PAGAR" sheetId="35" state="hidden" r:id="rId28"/>
    <sheet name="NOTA 11-BONIFICACION" sheetId="42" state="hidden" r:id="rId29"/>
    <sheet name="NOTA 11-VACACIONES" sheetId="44" state="hidden" r:id="rId30"/>
    <sheet name="NOTA 11-REGALIA" sheetId="36" state="hidden" r:id="rId31"/>
    <sheet name="NOTA 12-RETENCIONES X PAGAR" sheetId="50" state="hidden" r:id="rId32"/>
    <sheet name="NOTA 13-OTRAS CXP" sheetId="30" state="hidden" r:id="rId33"/>
    <sheet name="Hoja5" sheetId="20" state="hidden" r:id="rId34"/>
  </sheets>
  <externalReferences>
    <externalReference r:id="rId35"/>
    <externalReference r:id="rId36"/>
  </externalReferences>
  <definedNames>
    <definedName name="_xlnm.Print_Area" localSheetId="4">'A-RESULTADOS ANEXOS'!$A$1:$F$133</definedName>
    <definedName name="_xlnm.Print_Area" localSheetId="2">'A-SITUACION ANEXOS'!$A$1:$F$172</definedName>
    <definedName name="_xlnm.Print_Area" localSheetId="5">'Cédula Nota 1'!$A$1:$E$16</definedName>
    <definedName name="_xlnm.Print_Area" localSheetId="6">'Cédula Nota 2 '!$A$1:$E$21</definedName>
    <definedName name="_xlnm.Print_Area" localSheetId="1">'Estado de Resultados'!$A$1:$E$52</definedName>
    <definedName name="_xlnm.Print_Area" localSheetId="0">'Estado Situación'!$A$1:$E$66</definedName>
    <definedName name="_xlnm.Print_Area" localSheetId="26">'NOTA 10-CEDULAS CxP CONTRATISTA'!$A$1:$C$44</definedName>
    <definedName name="_xlnm.Print_Area" localSheetId="28">'NOTA 11-BONIFICACION'!$A$1:$D$40</definedName>
    <definedName name="_xlnm.Print_Area" localSheetId="27">'NOTA 11-GASTOS PERSONAL X PAGAR'!$A$1:$B$49</definedName>
    <definedName name="_xlnm.Print_Area" localSheetId="31">'NOTA 12-RETENCIONES X PAGAR'!$A$1:$B$50</definedName>
    <definedName name="_xlnm.Print_Area" localSheetId="32">'NOTA 13-OTRAS CXP'!$A$1:$B$16</definedName>
    <definedName name="_xlnm.Print_Area" localSheetId="3">'NOTA 14-CAPITAL'!$A$1:$H$29</definedName>
    <definedName name="_xlnm.Print_Area" localSheetId="9">'NOTA 3-ANTIC COMP Y OTRAS'!$B$1:$F$21</definedName>
    <definedName name="_xlnm.Print_Area" localSheetId="12">'NOTA 3-C X C'!$B$1:$C$17</definedName>
    <definedName name="_xlnm.Print_Area" localSheetId="8">'NOTA 3-C-CONST '!$A$1:$F$38</definedName>
    <definedName name="_xlnm.Print_Area" localSheetId="13">'NOTA 4  INVENTARIO'!$A$1:$C$6</definedName>
    <definedName name="_xlnm.Print_Area" localSheetId="14">'NOTA 5  GPA'!$A$1:$D$23</definedName>
    <definedName name="_xlnm.Print_Area" localSheetId="17">'NOTA 5 - LIC MS 365 AMORTIZ'!$A$1:$F$44</definedName>
    <definedName name="_xlnm.Print_Area" localSheetId="22">'NOTA 7-AVANCES A FUTURAS CAPIT'!$A$1:$D$46</definedName>
    <definedName name="_xlnm.Print_Area" localSheetId="24">'NOTA 8-MOBILIARIO Y EQUIPOS, NE'!$A$1:$J$31</definedName>
    <definedName name="_xlnm.Print_Area" localSheetId="25">'NOTA 9-CEDULAS CxP PROVEEDORES '!$A$1:$C$109</definedName>
    <definedName name="_xlnm.Print_Titles" localSheetId="4">'A-RESULTADOS ANEXOS'!$1:$8</definedName>
    <definedName name="_xlnm.Print_Titles" localSheetId="2">'A-SITUACION ANEXOS'!$1:$9</definedName>
    <definedName name="_xlnm.Print_Titles" localSheetId="29">'NOTA 11-VACACIONES'!$1:$7</definedName>
    <definedName name="_xlnm.Print_Titles" localSheetId="8">'NOTA 3-C-CONST 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35" l="1"/>
  <c r="D84" i="34"/>
  <c r="F134" i="25"/>
  <c r="D132" i="34" l="1"/>
  <c r="F113" i="34"/>
  <c r="A57" i="50"/>
  <c r="A41" i="50"/>
  <c r="A27" i="50"/>
  <c r="E20" i="13"/>
  <c r="C13" i="40" l="1"/>
  <c r="B41" i="35" l="1"/>
  <c r="C140" i="25"/>
  <c r="G17" i="31" l="1"/>
  <c r="G32" i="31" s="1"/>
  <c r="I95" i="44"/>
  <c r="V95" i="44" s="1"/>
  <c r="G95" i="44"/>
  <c r="V94" i="44"/>
  <c r="I94" i="44"/>
  <c r="G94" i="44"/>
  <c r="W94" i="44" s="1"/>
  <c r="I93" i="44"/>
  <c r="V93" i="44" s="1"/>
  <c r="G93" i="44"/>
  <c r="V92" i="44"/>
  <c r="I92" i="44"/>
  <c r="G92" i="44"/>
  <c r="W92" i="44" s="1"/>
  <c r="I91" i="44"/>
  <c r="V91" i="44" s="1"/>
  <c r="G91" i="44"/>
  <c r="V90" i="44"/>
  <c r="I90" i="44"/>
  <c r="G90" i="44"/>
  <c r="W90" i="44" s="1"/>
  <c r="I89" i="44"/>
  <c r="V89" i="44" s="1"/>
  <c r="G89" i="44"/>
  <c r="V88" i="44"/>
  <c r="I88" i="44"/>
  <c r="G88" i="44"/>
  <c r="W88" i="44" s="1"/>
  <c r="I87" i="44"/>
  <c r="V87" i="44" s="1"/>
  <c r="G87" i="44"/>
  <c r="V86" i="44"/>
  <c r="I86" i="44"/>
  <c r="G86" i="44"/>
  <c r="W86" i="44" s="1"/>
  <c r="C86" i="44"/>
  <c r="V85" i="44"/>
  <c r="I85" i="44"/>
  <c r="G85" i="44"/>
  <c r="W85" i="44" s="1"/>
  <c r="C85" i="44"/>
  <c r="I84" i="44"/>
  <c r="V84" i="44" s="1"/>
  <c r="W84" i="44" s="1"/>
  <c r="G84" i="44"/>
  <c r="V83" i="44"/>
  <c r="I83" i="44"/>
  <c r="G83" i="44"/>
  <c r="W83" i="44" s="1"/>
  <c r="I82" i="44"/>
  <c r="V82" i="44" s="1"/>
  <c r="W82" i="44" s="1"/>
  <c r="G82" i="44"/>
  <c r="C82" i="44"/>
  <c r="I81" i="44"/>
  <c r="V81" i="44" s="1"/>
  <c r="W81" i="44" s="1"/>
  <c r="G81" i="44"/>
  <c r="V80" i="44"/>
  <c r="I80" i="44"/>
  <c r="G80" i="44"/>
  <c r="W80" i="44" s="1"/>
  <c r="I79" i="44"/>
  <c r="V79" i="44" s="1"/>
  <c r="W79" i="44" s="1"/>
  <c r="G79" i="44"/>
  <c r="V78" i="44"/>
  <c r="I78" i="44"/>
  <c r="G78" i="44"/>
  <c r="W78" i="44" s="1"/>
  <c r="I77" i="44"/>
  <c r="V77" i="44" s="1"/>
  <c r="W77" i="44" s="1"/>
  <c r="G77" i="44"/>
  <c r="V76" i="44"/>
  <c r="I76" i="44"/>
  <c r="G76" i="44"/>
  <c r="W76" i="44" s="1"/>
  <c r="I75" i="44"/>
  <c r="V75" i="44" s="1"/>
  <c r="W75" i="44" s="1"/>
  <c r="G75" i="44"/>
  <c r="V74" i="44"/>
  <c r="I74" i="44"/>
  <c r="G74" i="44"/>
  <c r="W74" i="44" s="1"/>
  <c r="I73" i="44"/>
  <c r="V73" i="44" s="1"/>
  <c r="W73" i="44" s="1"/>
  <c r="G73" i="44"/>
  <c r="C73" i="44"/>
  <c r="I72" i="44"/>
  <c r="V72" i="44" s="1"/>
  <c r="W72" i="44" s="1"/>
  <c r="G72" i="44"/>
  <c r="C72" i="44"/>
  <c r="I71" i="44"/>
  <c r="V71" i="44" s="1"/>
  <c r="W71" i="44" s="1"/>
  <c r="G71" i="44"/>
  <c r="V70" i="44"/>
  <c r="I70" i="44"/>
  <c r="G70" i="44"/>
  <c r="W70" i="44" s="1"/>
  <c r="I69" i="44"/>
  <c r="V69" i="44" s="1"/>
  <c r="W69" i="44" s="1"/>
  <c r="G69" i="44"/>
  <c r="V68" i="44"/>
  <c r="I68" i="44"/>
  <c r="G68" i="44"/>
  <c r="W68" i="44" s="1"/>
  <c r="I67" i="44"/>
  <c r="V67" i="44" s="1"/>
  <c r="W67" i="44" s="1"/>
  <c r="G67" i="44"/>
  <c r="V66" i="44"/>
  <c r="I66" i="44"/>
  <c r="G66" i="44"/>
  <c r="W66" i="44" s="1"/>
  <c r="I65" i="44"/>
  <c r="V65" i="44" s="1"/>
  <c r="W65" i="44" s="1"/>
  <c r="G65" i="44"/>
  <c r="V64" i="44"/>
  <c r="I64" i="44"/>
  <c r="G64" i="44"/>
  <c r="W64" i="44" s="1"/>
  <c r="C64" i="44"/>
  <c r="I63" i="44"/>
  <c r="V63" i="44" s="1"/>
  <c r="G63" i="44"/>
  <c r="I62" i="44"/>
  <c r="V62" i="44" s="1"/>
  <c r="G62" i="44"/>
  <c r="I61" i="44"/>
  <c r="V61" i="44" s="1"/>
  <c r="G61" i="44"/>
  <c r="W61" i="44" s="1"/>
  <c r="I60" i="44"/>
  <c r="V60" i="44" s="1"/>
  <c r="G60" i="44"/>
  <c r="W60" i="44" s="1"/>
  <c r="I59" i="44"/>
  <c r="V59" i="44" s="1"/>
  <c r="G59" i="44"/>
  <c r="I58" i="44"/>
  <c r="V58" i="44" s="1"/>
  <c r="G58" i="44"/>
  <c r="I57" i="44"/>
  <c r="V57" i="44" s="1"/>
  <c r="G57" i="44"/>
  <c r="W57" i="44" s="1"/>
  <c r="C57" i="44"/>
  <c r="I56" i="44"/>
  <c r="V56" i="44" s="1"/>
  <c r="W56" i="44" s="1"/>
  <c r="G56" i="44"/>
  <c r="C56" i="44"/>
  <c r="I55" i="44"/>
  <c r="V55" i="44" s="1"/>
  <c r="W55" i="44" s="1"/>
  <c r="G55" i="44"/>
  <c r="V54" i="44"/>
  <c r="I54" i="44"/>
  <c r="G54" i="44"/>
  <c r="W54" i="44" s="1"/>
  <c r="C54" i="44"/>
  <c r="V53" i="44"/>
  <c r="I53" i="44"/>
  <c r="G53" i="44"/>
  <c r="W53" i="44" s="1"/>
  <c r="I52" i="44"/>
  <c r="V52" i="44" s="1"/>
  <c r="W52" i="44" s="1"/>
  <c r="G52" i="44"/>
  <c r="C52" i="44"/>
  <c r="I51" i="44"/>
  <c r="V51" i="44" s="1"/>
  <c r="G51" i="44"/>
  <c r="W51" i="44" s="1"/>
  <c r="I50" i="44"/>
  <c r="V50" i="44" s="1"/>
  <c r="G50" i="44"/>
  <c r="I49" i="44"/>
  <c r="V49" i="44" s="1"/>
  <c r="G49" i="44"/>
  <c r="C49" i="44"/>
  <c r="V48" i="44"/>
  <c r="I48" i="44"/>
  <c r="G48" i="44"/>
  <c r="W48" i="44" s="1"/>
  <c r="I47" i="44"/>
  <c r="V47" i="44" s="1"/>
  <c r="G47" i="44"/>
  <c r="V46" i="44"/>
  <c r="I46" i="44"/>
  <c r="G46" i="44"/>
  <c r="W46" i="44" s="1"/>
  <c r="C46" i="44"/>
  <c r="V45" i="44"/>
  <c r="I45" i="44"/>
  <c r="G45" i="44"/>
  <c r="W45" i="44" s="1"/>
  <c r="I44" i="44"/>
  <c r="V44" i="44" s="1"/>
  <c r="W44" i="44" s="1"/>
  <c r="G44" i="44"/>
  <c r="V43" i="44"/>
  <c r="I43" i="44"/>
  <c r="G43" i="44"/>
  <c r="W43" i="44" s="1"/>
  <c r="I42" i="44"/>
  <c r="V42" i="44" s="1"/>
  <c r="W42" i="44" s="1"/>
  <c r="G42" i="44"/>
  <c r="C42" i="44"/>
  <c r="I41" i="44"/>
  <c r="V41" i="44" s="1"/>
  <c r="W41" i="44" s="1"/>
  <c r="G41" i="44"/>
  <c r="V40" i="44"/>
  <c r="I40" i="44"/>
  <c r="G40" i="44"/>
  <c r="W40" i="44" s="1"/>
  <c r="I39" i="44"/>
  <c r="V39" i="44" s="1"/>
  <c r="W39" i="44" s="1"/>
  <c r="G39" i="44"/>
  <c r="C39" i="44"/>
  <c r="I38" i="44"/>
  <c r="V38" i="44" s="1"/>
  <c r="G38" i="44"/>
  <c r="W38" i="44" s="1"/>
  <c r="C38" i="44"/>
  <c r="V37" i="44"/>
  <c r="I37" i="44"/>
  <c r="G37" i="44"/>
  <c r="W37" i="44" s="1"/>
  <c r="I36" i="44"/>
  <c r="V36" i="44" s="1"/>
  <c r="G36" i="44"/>
  <c r="V35" i="44"/>
  <c r="I35" i="44"/>
  <c r="G35" i="44"/>
  <c r="W35" i="44" s="1"/>
  <c r="I34" i="44"/>
  <c r="V34" i="44" s="1"/>
  <c r="G34" i="44"/>
  <c r="V33" i="44"/>
  <c r="I33" i="44"/>
  <c r="G33" i="44"/>
  <c r="W33" i="44" s="1"/>
  <c r="I32" i="44"/>
  <c r="V32" i="44" s="1"/>
  <c r="G32" i="44"/>
  <c r="W32" i="44" s="1"/>
  <c r="V31" i="44"/>
  <c r="I31" i="44"/>
  <c r="G31" i="44"/>
  <c r="W31" i="44" s="1"/>
  <c r="I30" i="44"/>
  <c r="V30" i="44" s="1"/>
  <c r="G30" i="44"/>
  <c r="W30" i="44" s="1"/>
  <c r="V29" i="44"/>
  <c r="I29" i="44"/>
  <c r="G29" i="44"/>
  <c r="W29" i="44" s="1"/>
  <c r="I28" i="44"/>
  <c r="V28" i="44" s="1"/>
  <c r="G28" i="44"/>
  <c r="V27" i="44"/>
  <c r="I27" i="44"/>
  <c r="G27" i="44"/>
  <c r="W27" i="44" s="1"/>
  <c r="I26" i="44"/>
  <c r="V26" i="44" s="1"/>
  <c r="G26" i="44"/>
  <c r="V25" i="44"/>
  <c r="I25" i="44"/>
  <c r="G25" i="44"/>
  <c r="W25" i="44" s="1"/>
  <c r="I24" i="44"/>
  <c r="V24" i="44" s="1"/>
  <c r="G24" i="44"/>
  <c r="W24" i="44" s="1"/>
  <c r="C24" i="44"/>
  <c r="I23" i="44"/>
  <c r="V23" i="44" s="1"/>
  <c r="W23" i="44" s="1"/>
  <c r="G23" i="44"/>
  <c r="V22" i="44"/>
  <c r="I22" i="44"/>
  <c r="G22" i="44"/>
  <c r="W22" i="44" s="1"/>
  <c r="I21" i="44"/>
  <c r="V21" i="44" s="1"/>
  <c r="W21" i="44" s="1"/>
  <c r="G21" i="44"/>
  <c r="V20" i="44"/>
  <c r="I20" i="44"/>
  <c r="G20" i="44"/>
  <c r="W20" i="44" s="1"/>
  <c r="I19" i="44"/>
  <c r="V19" i="44" s="1"/>
  <c r="W19" i="44" s="1"/>
  <c r="G19" i="44"/>
  <c r="C19" i="44"/>
  <c r="I18" i="44"/>
  <c r="V18" i="44" s="1"/>
  <c r="W18" i="44" s="1"/>
  <c r="G18" i="44"/>
  <c r="C18" i="44"/>
  <c r="I17" i="44"/>
  <c r="V17" i="44" s="1"/>
  <c r="G17" i="44"/>
  <c r="I16" i="44"/>
  <c r="V16" i="44" s="1"/>
  <c r="G16" i="44"/>
  <c r="I15" i="44"/>
  <c r="V15" i="44" s="1"/>
  <c r="G15" i="44"/>
  <c r="W15" i="44" s="1"/>
  <c r="I14" i="44"/>
  <c r="V14" i="44" s="1"/>
  <c r="G14" i="44"/>
  <c r="W14" i="44" s="1"/>
  <c r="I13" i="44"/>
  <c r="V13" i="44" s="1"/>
  <c r="G13" i="44"/>
  <c r="W13" i="44" s="1"/>
  <c r="C13" i="44"/>
  <c r="V12" i="44"/>
  <c r="I12" i="44"/>
  <c r="G12" i="44"/>
  <c r="W12" i="44" s="1"/>
  <c r="I11" i="44"/>
  <c r="V11" i="44" s="1"/>
  <c r="G11" i="44"/>
  <c r="W11" i="44" s="1"/>
  <c r="V10" i="44"/>
  <c r="I10" i="44"/>
  <c r="G10" i="44"/>
  <c r="W10" i="44" s="1"/>
  <c r="C10" i="44"/>
  <c r="W47" i="44" l="1"/>
  <c r="W50" i="44"/>
  <c r="W59" i="44"/>
  <c r="W63" i="44"/>
  <c r="W93" i="44"/>
  <c r="W36" i="44"/>
  <c r="W87" i="44"/>
  <c r="W96" i="44"/>
  <c r="W98" i="44" s="1"/>
  <c r="W91" i="44"/>
  <c r="W34" i="44"/>
  <c r="W28" i="44"/>
  <c r="W95" i="44"/>
  <c r="W17" i="44"/>
  <c r="W26" i="44"/>
  <c r="W16" i="44"/>
  <c r="W49" i="44"/>
  <c r="W58" i="44"/>
  <c r="W62" i="44"/>
  <c r="W89" i="44"/>
  <c r="I12" i="41" l="1"/>
  <c r="H12" i="41"/>
  <c r="G12" i="41"/>
  <c r="E12" i="41"/>
  <c r="H10" i="41"/>
  <c r="I10" i="41" s="1"/>
  <c r="H9" i="41"/>
  <c r="H11" i="41"/>
  <c r="F38" i="54" l="1"/>
  <c r="F39" i="54" s="1"/>
  <c r="F30" i="38"/>
  <c r="F30" i="55"/>
  <c r="D14" i="31" l="1"/>
  <c r="E12" i="26"/>
  <c r="D42" i="19" l="1"/>
  <c r="D41" i="19"/>
  <c r="C29" i="37"/>
  <c r="C18" i="37"/>
  <c r="C31" i="37" s="1"/>
  <c r="D30" i="1"/>
  <c r="D21" i="2"/>
  <c r="D158" i="19"/>
  <c r="F158" i="19" s="1"/>
  <c r="D159" i="19"/>
  <c r="F159" i="19" s="1"/>
  <c r="D160" i="19"/>
  <c r="F160" i="19" s="1"/>
  <c r="D161" i="19"/>
  <c r="F161" i="19" s="1"/>
  <c r="D162" i="19"/>
  <c r="F162" i="19" s="1"/>
  <c r="D62" i="19"/>
  <c r="F62" i="19" s="1"/>
  <c r="F63" i="19"/>
  <c r="F150" i="19"/>
  <c r="F142" i="19"/>
  <c r="F124" i="19"/>
  <c r="F123" i="19"/>
  <c r="F121" i="19"/>
  <c r="F119" i="19"/>
  <c r="F100" i="19"/>
  <c r="F99" i="19"/>
  <c r="F95" i="19"/>
  <c r="F94" i="19"/>
  <c r="F90" i="19"/>
  <c r="F89" i="19"/>
  <c r="F85" i="19"/>
  <c r="F84" i="19"/>
  <c r="F80" i="19"/>
  <c r="F79" i="19"/>
  <c r="F75" i="19"/>
  <c r="F74" i="19"/>
  <c r="F73" i="19"/>
  <c r="F69" i="19"/>
  <c r="F68" i="19"/>
  <c r="F67" i="19"/>
  <c r="F61" i="19"/>
  <c r="F57" i="19"/>
  <c r="F56" i="19"/>
  <c r="F55" i="19"/>
  <c r="F47" i="34" l="1"/>
  <c r="C41" i="42" l="1"/>
  <c r="E33" i="7"/>
  <c r="D42" i="34"/>
  <c r="E113" i="19"/>
  <c r="D25" i="2" s="1"/>
  <c r="D111" i="19"/>
  <c r="F111" i="19" s="1"/>
  <c r="D74" i="19"/>
  <c r="D68" i="19"/>
  <c r="H54" i="51" l="1"/>
  <c r="E36" i="7" l="1"/>
  <c r="E30" i="7"/>
  <c r="F37" i="54" l="1"/>
  <c r="E164" i="19" l="1"/>
  <c r="D36" i="2" s="1"/>
  <c r="E154" i="19"/>
  <c r="D35" i="2" s="1"/>
  <c r="E58" i="19"/>
  <c r="E51" i="19"/>
  <c r="D20" i="2" s="1"/>
  <c r="E44" i="19"/>
  <c r="D19" i="2" s="1"/>
  <c r="E20" i="19"/>
  <c r="D16" i="2" s="1"/>
  <c r="E28" i="19"/>
  <c r="D17" i="2" s="1"/>
  <c r="E37" i="19"/>
  <c r="D18" i="2" s="1"/>
  <c r="D134" i="19"/>
  <c r="F134" i="19" s="1"/>
  <c r="C17" i="51" l="1"/>
  <c r="D110" i="19" s="1"/>
  <c r="F110" i="19" s="1"/>
  <c r="H41" i="51"/>
  <c r="H34" i="51"/>
  <c r="G15" i="41"/>
  <c r="F36" i="54"/>
  <c r="F17" i="55"/>
  <c r="F20" i="55" s="1"/>
  <c r="F14" i="55"/>
  <c r="F29" i="38"/>
  <c r="F17" i="38"/>
  <c r="B16" i="50"/>
  <c r="C15" i="51" l="1"/>
  <c r="C36" i="2"/>
  <c r="I11" i="41"/>
  <c r="F29" i="55" l="1"/>
  <c r="F42" i="55" s="1"/>
  <c r="F43" i="55" s="1"/>
  <c r="C13" i="39" s="1"/>
  <c r="D24" i="55"/>
  <c r="D22" i="55"/>
  <c r="F22" i="55" s="1"/>
  <c r="F24" i="55" s="1"/>
  <c r="B62" i="50"/>
  <c r="B48" i="50"/>
  <c r="B49" i="50" s="1"/>
  <c r="B34" i="50"/>
  <c r="B35" i="50" s="1"/>
  <c r="F30" i="47" l="1"/>
  <c r="F42" i="47" s="1"/>
  <c r="E26" i="7"/>
  <c r="E27" i="7"/>
  <c r="E32" i="7"/>
  <c r="E31" i="7"/>
  <c r="F35" i="54"/>
  <c r="F23" i="47"/>
  <c r="D16" i="42" l="1"/>
  <c r="D17" i="42"/>
  <c r="D15" i="42"/>
  <c r="D34" i="42"/>
  <c r="D35" i="42"/>
  <c r="D36" i="42"/>
  <c r="D37" i="42"/>
  <c r="D38" i="42"/>
  <c r="D39" i="42"/>
  <c r="D28" i="42"/>
  <c r="D29" i="42" s="1"/>
  <c r="F13" i="34" l="1"/>
  <c r="F14" i="34"/>
  <c r="F15" i="34"/>
  <c r="E137" i="19"/>
  <c r="D33" i="2" s="1"/>
  <c r="D135" i="19" l="1"/>
  <c r="F135" i="19" s="1"/>
  <c r="C44" i="2"/>
  <c r="D95" i="19"/>
  <c r="E24" i="16"/>
  <c r="E101" i="19"/>
  <c r="D101" i="19"/>
  <c r="E96" i="19"/>
  <c r="F101" i="19" l="1"/>
  <c r="D96" i="19"/>
  <c r="F96" i="19" s="1"/>
  <c r="E24" i="7" l="1"/>
  <c r="F49" i="23"/>
  <c r="F34" i="54" l="1"/>
  <c r="F65" i="34"/>
  <c r="D70" i="19"/>
  <c r="D64" i="19"/>
  <c r="F33" i="54" l="1"/>
  <c r="B10" i="36"/>
  <c r="D108" i="19"/>
  <c r="F108" i="19" s="1"/>
  <c r="D18" i="19"/>
  <c r="F18" i="19" s="1"/>
  <c r="D17" i="19"/>
  <c r="F17" i="19" s="1"/>
  <c r="D16" i="19"/>
  <c r="F16" i="19" s="1"/>
  <c r="D15" i="19"/>
  <c r="F15" i="19" s="1"/>
  <c r="D14" i="19"/>
  <c r="F22" i="54"/>
  <c r="C31" i="1"/>
  <c r="C30" i="1"/>
  <c r="E51" i="34"/>
  <c r="D21" i="1" s="1"/>
  <c r="C15" i="25" l="1"/>
  <c r="F30" i="54" l="1"/>
  <c r="E28" i="7" l="1"/>
  <c r="E17" i="7"/>
  <c r="E34" i="7"/>
  <c r="F34" i="7" s="1"/>
  <c r="F35" i="7"/>
  <c r="C17" i="29"/>
  <c r="F42" i="38" l="1"/>
  <c r="F37" i="34"/>
  <c r="F38" i="34"/>
  <c r="B12" i="30" l="1"/>
  <c r="E24" i="53" l="1"/>
  <c r="D32" i="1" l="1"/>
  <c r="F115" i="34" l="1"/>
  <c r="D151" i="19"/>
  <c r="F151" i="19" s="1"/>
  <c r="F23" i="29" l="1"/>
  <c r="F22" i="29"/>
  <c r="F21" i="29"/>
  <c r="F16" i="29"/>
  <c r="F15" i="29"/>
  <c r="F14" i="29"/>
  <c r="F20" i="29"/>
  <c r="C128" i="25"/>
  <c r="C129" i="25" s="1"/>
  <c r="F85" i="34"/>
  <c r="F44" i="34"/>
  <c r="C16" i="51"/>
  <c r="D109" i="19" s="1"/>
  <c r="F109" i="19" s="1"/>
  <c r="F114" i="34" l="1"/>
  <c r="F83" i="34"/>
  <c r="F84" i="34"/>
  <c r="F86" i="34"/>
  <c r="E109" i="34"/>
  <c r="D23" i="1" s="1"/>
  <c r="E89" i="34"/>
  <c r="D22" i="1" s="1"/>
  <c r="F75" i="34" l="1"/>
  <c r="F69" i="34"/>
  <c r="F76" i="34"/>
  <c r="F77" i="34"/>
  <c r="F78" i="34"/>
  <c r="F79" i="34"/>
  <c r="C54" i="25"/>
  <c r="D89" i="34" l="1"/>
  <c r="F74" i="34"/>
  <c r="D51" i="34"/>
  <c r="C106" i="25"/>
  <c r="C10" i="40"/>
  <c r="D33" i="19" s="1"/>
  <c r="F33" i="19" s="1"/>
  <c r="C21" i="1" l="1"/>
  <c r="C22" i="1"/>
  <c r="F16" i="54"/>
  <c r="F19" i="54" s="1"/>
  <c r="F29" i="54" l="1"/>
  <c r="F31" i="54" s="1"/>
  <c r="F32" i="54" s="1"/>
  <c r="F24" i="54"/>
  <c r="F26" i="54" s="1"/>
  <c r="D24" i="54" l="1"/>
  <c r="D26" i="54"/>
  <c r="F42" i="54"/>
  <c r="F44" i="54" s="1"/>
  <c r="C15" i="39" s="1"/>
  <c r="F41" i="46"/>
  <c r="E41" i="53"/>
  <c r="C118" i="25" l="1"/>
  <c r="D24" i="19" l="1"/>
  <c r="D28" i="19" l="1"/>
  <c r="F24" i="19"/>
  <c r="C41" i="52"/>
  <c r="C43" i="52" s="1"/>
  <c r="H17" i="29"/>
  <c r="I16" i="29"/>
  <c r="E17" i="29"/>
  <c r="D121" i="19" s="1"/>
  <c r="J16" i="29"/>
  <c r="D17" i="29"/>
  <c r="D119" i="19" s="1"/>
  <c r="D117" i="19"/>
  <c r="F117" i="19" s="1"/>
  <c r="C11" i="45" l="1"/>
  <c r="C11" i="40" l="1"/>
  <c r="F36" i="7"/>
  <c r="F121" i="34" l="1"/>
  <c r="F64" i="34"/>
  <c r="F61" i="34"/>
  <c r="H24" i="29" l="1"/>
  <c r="E24" i="29"/>
  <c r="D122" i="19" s="1"/>
  <c r="F122" i="19" s="1"/>
  <c r="D24" i="29"/>
  <c r="D120" i="19" s="1"/>
  <c r="F120" i="19" s="1"/>
  <c r="C24" i="29"/>
  <c r="D118" i="19" s="1"/>
  <c r="F118" i="19" s="1"/>
  <c r="I23" i="29"/>
  <c r="J23" i="29" s="1"/>
  <c r="I22" i="29"/>
  <c r="J22" i="29" s="1"/>
  <c r="I21" i="29"/>
  <c r="I20" i="29"/>
  <c r="H26" i="29"/>
  <c r="I15" i="29"/>
  <c r="I14" i="29"/>
  <c r="J14" i="29" s="1"/>
  <c r="I13" i="29"/>
  <c r="F13" i="29"/>
  <c r="J13" i="29" s="1"/>
  <c r="I12" i="29"/>
  <c r="I17" i="29" l="1"/>
  <c r="D123" i="19" s="1"/>
  <c r="I24" i="29"/>
  <c r="J20" i="29"/>
  <c r="J15" i="29"/>
  <c r="D26" i="29"/>
  <c r="F12" i="29"/>
  <c r="F17" i="29" s="1"/>
  <c r="E26" i="29"/>
  <c r="C26" i="29"/>
  <c r="J21" i="29"/>
  <c r="F24" i="29"/>
  <c r="I26" i="29" l="1"/>
  <c r="D124" i="19"/>
  <c r="D126" i="19" s="1"/>
  <c r="J24" i="29"/>
  <c r="F26" i="29"/>
  <c r="J12" i="29"/>
  <c r="J17" i="29" s="1"/>
  <c r="C26" i="2" l="1"/>
  <c r="J26" i="29"/>
  <c r="H36" i="51" l="1"/>
  <c r="H63" i="51" s="1"/>
  <c r="C14" i="51" l="1"/>
  <c r="C19" i="51" s="1"/>
  <c r="D107" i="19" l="1"/>
  <c r="D113" i="19" l="1"/>
  <c r="C25" i="2" s="1"/>
  <c r="F107" i="19"/>
  <c r="F101" i="34" l="1"/>
  <c r="F102" i="34"/>
  <c r="F62" i="34"/>
  <c r="C65" i="25"/>
  <c r="C66" i="25" s="1"/>
  <c r="C32" i="1" l="1"/>
  <c r="B33" i="52"/>
  <c r="B32" i="52"/>
  <c r="B35" i="25" l="1"/>
  <c r="B34" i="25"/>
  <c r="B58" i="25" s="1"/>
  <c r="B82" i="25" s="1"/>
  <c r="B33" i="25"/>
  <c r="B57" i="25" s="1"/>
  <c r="B81" i="25" s="1"/>
  <c r="F113" i="19"/>
  <c r="E25" i="2" l="1"/>
  <c r="F129" i="34" l="1"/>
  <c r="F80" i="34"/>
  <c r="E25" i="7" l="1"/>
  <c r="D152" i="19" l="1"/>
  <c r="F152" i="19" s="1"/>
  <c r="D149" i="19"/>
  <c r="F149" i="19" s="1"/>
  <c r="D148" i="19"/>
  <c r="F148" i="19" s="1"/>
  <c r="A36" i="35"/>
  <c r="A35" i="35"/>
  <c r="A39" i="50"/>
  <c r="A38" i="50"/>
  <c r="A25" i="50"/>
  <c r="A24" i="50"/>
  <c r="D133" i="19"/>
  <c r="F133" i="19" s="1"/>
  <c r="D132" i="19"/>
  <c r="F132" i="19" s="1"/>
  <c r="D131" i="19"/>
  <c r="F131" i="19" s="1"/>
  <c r="D130" i="19"/>
  <c r="F130" i="19" s="1"/>
  <c r="E144" i="19"/>
  <c r="D154" i="19" l="1"/>
  <c r="F137" i="19"/>
  <c r="D137" i="19"/>
  <c r="C33" i="2" s="1"/>
  <c r="C10" i="52" l="1"/>
  <c r="D141" i="19" s="1"/>
  <c r="D144" i="19" l="1"/>
  <c r="F141" i="19"/>
  <c r="D15" i="31"/>
  <c r="D25" i="31"/>
  <c r="D28" i="31" s="1"/>
  <c r="D19" i="31"/>
  <c r="D21" i="31" s="1"/>
  <c r="D27" i="31" s="1"/>
  <c r="F32" i="7"/>
  <c r="F14" i="19"/>
  <c r="B47" i="35"/>
  <c r="B14" i="35"/>
  <c r="B12" i="32"/>
  <c r="B12" i="36"/>
  <c r="B16" i="36" s="1"/>
  <c r="D168" i="19"/>
  <c r="F168" i="19" s="1"/>
  <c r="F170" i="19" s="1"/>
  <c r="F16" i="47"/>
  <c r="F19" i="47" s="1"/>
  <c r="F43" i="46"/>
  <c r="C14" i="39" s="1"/>
  <c r="F22" i="46"/>
  <c r="D26" i="46" s="1"/>
  <c r="F26" i="46" s="1"/>
  <c r="F16" i="46"/>
  <c r="F20" i="38"/>
  <c r="D22" i="38" s="1"/>
  <c r="F14" i="38"/>
  <c r="F43" i="38" s="1"/>
  <c r="C12" i="39" s="1"/>
  <c r="F25" i="23"/>
  <c r="F21" i="23"/>
  <c r="F28" i="23" s="1"/>
  <c r="D29" i="39"/>
  <c r="D28" i="39"/>
  <c r="F42" i="19"/>
  <c r="C12" i="22"/>
  <c r="F33" i="7"/>
  <c r="F31" i="7"/>
  <c r="F30" i="7"/>
  <c r="F29" i="7"/>
  <c r="F28" i="7"/>
  <c r="F27" i="7"/>
  <c r="F26" i="7"/>
  <c r="F25" i="7"/>
  <c r="F24" i="7"/>
  <c r="E23" i="7"/>
  <c r="F23" i="7" s="1"/>
  <c r="E22" i="7"/>
  <c r="F22" i="7" s="1"/>
  <c r="F21" i="7"/>
  <c r="F20" i="7"/>
  <c r="F19" i="7"/>
  <c r="F18" i="7"/>
  <c r="F17" i="7"/>
  <c r="F16" i="7"/>
  <c r="F15" i="7"/>
  <c r="F14" i="7"/>
  <c r="F13" i="7"/>
  <c r="F12" i="7"/>
  <c r="F11" i="7"/>
  <c r="F10" i="7"/>
  <c r="C12" i="26"/>
  <c r="E132" i="34"/>
  <c r="F130" i="34"/>
  <c r="F128" i="34"/>
  <c r="G128" i="34" s="1"/>
  <c r="E124" i="34"/>
  <c r="D24" i="1" s="1"/>
  <c r="D124" i="34"/>
  <c r="C24" i="1" s="1"/>
  <c r="F122" i="34"/>
  <c r="F120" i="34"/>
  <c r="F119" i="34"/>
  <c r="F118" i="34"/>
  <c r="F117" i="34"/>
  <c r="F116" i="34"/>
  <c r="D109" i="34"/>
  <c r="F107" i="34"/>
  <c r="F106" i="34"/>
  <c r="F105" i="34"/>
  <c r="F104" i="34"/>
  <c r="F103" i="34"/>
  <c r="F100" i="34"/>
  <c r="F99" i="34"/>
  <c r="F98" i="34"/>
  <c r="F97" i="34"/>
  <c r="F96" i="34"/>
  <c r="F95" i="34"/>
  <c r="F94" i="34"/>
  <c r="F93" i="34"/>
  <c r="F87" i="34"/>
  <c r="F82" i="34"/>
  <c r="F81" i="34"/>
  <c r="F73" i="34"/>
  <c r="F72" i="34"/>
  <c r="F71" i="34"/>
  <c r="F70" i="34"/>
  <c r="F68" i="34"/>
  <c r="F67" i="34"/>
  <c r="F66" i="34"/>
  <c r="F63" i="34"/>
  <c r="F60" i="34"/>
  <c r="F59" i="34"/>
  <c r="F58" i="34"/>
  <c r="F57" i="34"/>
  <c r="F56" i="34"/>
  <c r="F55" i="34"/>
  <c r="F49" i="34"/>
  <c r="F48" i="34"/>
  <c r="F46" i="34"/>
  <c r="F45" i="34"/>
  <c r="F43" i="34"/>
  <c r="F42" i="34"/>
  <c r="F41" i="34"/>
  <c r="F40" i="34"/>
  <c r="F39" i="34"/>
  <c r="F36" i="34"/>
  <c r="F35" i="34"/>
  <c r="F34" i="34"/>
  <c r="F33" i="34"/>
  <c r="E29" i="34"/>
  <c r="D16" i="1" s="1"/>
  <c r="D29" i="34"/>
  <c r="C16" i="1" s="1"/>
  <c r="F27" i="34"/>
  <c r="F29" i="34" s="1"/>
  <c r="E23" i="34"/>
  <c r="D15" i="1" s="1"/>
  <c r="D23" i="34"/>
  <c r="C15" i="1" s="1"/>
  <c r="F21" i="34"/>
  <c r="F23" i="34" s="1"/>
  <c r="E17" i="34"/>
  <c r="D17" i="34"/>
  <c r="F12" i="34"/>
  <c r="H27" i="16"/>
  <c r="E23" i="16"/>
  <c r="E22" i="16"/>
  <c r="E21" i="16"/>
  <c r="F20" i="16"/>
  <c r="E20" i="16" s="1"/>
  <c r="E19" i="16"/>
  <c r="E18" i="16"/>
  <c r="B8" i="16"/>
  <c r="B6" i="16"/>
  <c r="E170" i="19"/>
  <c r="D37" i="2" s="1"/>
  <c r="D38" i="2" s="1"/>
  <c r="E126" i="19"/>
  <c r="D26" i="2" s="1"/>
  <c r="E91" i="19"/>
  <c r="D91" i="19"/>
  <c r="E86" i="19"/>
  <c r="D86" i="19"/>
  <c r="E81" i="19"/>
  <c r="D81" i="19"/>
  <c r="E76" i="19"/>
  <c r="D76" i="19"/>
  <c r="E70" i="19"/>
  <c r="E64" i="19"/>
  <c r="D56" i="19"/>
  <c r="D58" i="19" s="1"/>
  <c r="F26" i="19"/>
  <c r="D13" i="19"/>
  <c r="D20" i="19" s="1"/>
  <c r="A45" i="1"/>
  <c r="E31" i="1"/>
  <c r="E45" i="2"/>
  <c r="B48" i="35" l="1"/>
  <c r="B52" i="35"/>
  <c r="F124" i="34"/>
  <c r="D164" i="19"/>
  <c r="D35" i="19"/>
  <c r="F35" i="19" s="1"/>
  <c r="D103" i="19"/>
  <c r="F22" i="38"/>
  <c r="F24" i="38" s="1"/>
  <c r="E103" i="19"/>
  <c r="D24" i="2" s="1"/>
  <c r="F27" i="16"/>
  <c r="C23" i="1"/>
  <c r="F25" i="19"/>
  <c r="B36" i="36"/>
  <c r="B38" i="36" s="1"/>
  <c r="B21" i="36"/>
  <c r="E15" i="1"/>
  <c r="F32" i="23"/>
  <c r="F30" i="23"/>
  <c r="F34" i="23"/>
  <c r="F21" i="47"/>
  <c r="F52" i="23"/>
  <c r="F89" i="34"/>
  <c r="F51" i="34"/>
  <c r="F109" i="34"/>
  <c r="D24" i="46"/>
  <c r="F24" i="46" s="1"/>
  <c r="D41" i="2"/>
  <c r="F41" i="19"/>
  <c r="E37" i="7"/>
  <c r="D37" i="7"/>
  <c r="D18" i="42"/>
  <c r="D21" i="42" s="1"/>
  <c r="D24" i="38"/>
  <c r="E24" i="1"/>
  <c r="E16" i="1"/>
  <c r="E14" i="1"/>
  <c r="D25" i="1"/>
  <c r="E21" i="1"/>
  <c r="F86" i="19"/>
  <c r="F144" i="19"/>
  <c r="C34" i="2"/>
  <c r="F81" i="19"/>
  <c r="F91" i="19"/>
  <c r="F58" i="19"/>
  <c r="F17" i="34"/>
  <c r="E30" i="1"/>
  <c r="E32" i="1" s="1"/>
  <c r="F132" i="34"/>
  <c r="C17" i="1"/>
  <c r="D29" i="31"/>
  <c r="F37" i="7"/>
  <c r="D27" i="39"/>
  <c r="F13" i="19"/>
  <c r="F20" i="19" s="1"/>
  <c r="D170" i="19"/>
  <c r="C37" i="2" s="1"/>
  <c r="F154" i="19"/>
  <c r="F164" i="19" l="1"/>
  <c r="F44" i="19"/>
  <c r="D44" i="19"/>
  <c r="C19" i="2" s="1"/>
  <c r="B22" i="36"/>
  <c r="B23" i="36" s="1"/>
  <c r="B24" i="36" s="1"/>
  <c r="B25" i="36" s="1"/>
  <c r="B26" i="36" s="1"/>
  <c r="C21" i="36"/>
  <c r="E44" i="2"/>
  <c r="C24" i="2"/>
  <c r="D17" i="1"/>
  <c r="D27" i="1" s="1"/>
  <c r="D36" i="1" s="1"/>
  <c r="D46" i="2" s="1"/>
  <c r="D9" i="39"/>
  <c r="C35" i="2"/>
  <c r="C38" i="2" s="1"/>
  <c r="C9" i="40"/>
  <c r="D32" i="19" s="1"/>
  <c r="F32" i="19" s="1"/>
  <c r="C45" i="42"/>
  <c r="C47" i="42" s="1"/>
  <c r="F64" i="19"/>
  <c r="F76" i="19"/>
  <c r="F70" i="19"/>
  <c r="D25" i="47"/>
  <c r="F25" i="47"/>
  <c r="D23" i="47"/>
  <c r="F126" i="19"/>
  <c r="E23" i="1"/>
  <c r="E22" i="1"/>
  <c r="I9" i="41"/>
  <c r="F28" i="19"/>
  <c r="E17" i="1"/>
  <c r="D27" i="2"/>
  <c r="D29" i="2" s="1"/>
  <c r="E36" i="2"/>
  <c r="E34" i="2"/>
  <c r="E33" i="2"/>
  <c r="C25" i="1"/>
  <c r="C27" i="1" s="1"/>
  <c r="C16" i="2"/>
  <c r="C36" i="1" l="1"/>
  <c r="C37" i="1" s="1"/>
  <c r="B33" i="36"/>
  <c r="C22" i="36"/>
  <c r="C23" i="36"/>
  <c r="C24" i="36" s="1"/>
  <c r="C25" i="36" s="1"/>
  <c r="C26" i="36" s="1"/>
  <c r="F103" i="19"/>
  <c r="D48" i="19"/>
  <c r="F48" i="19" s="1"/>
  <c r="C17" i="2"/>
  <c r="D37" i="1"/>
  <c r="D48" i="2"/>
  <c r="D50" i="2" s="1"/>
  <c r="E25" i="1"/>
  <c r="E27" i="1" s="1"/>
  <c r="E36" i="1" s="1"/>
  <c r="C41" i="2"/>
  <c r="E35" i="2"/>
  <c r="E19" i="2"/>
  <c r="E37" i="2"/>
  <c r="C27" i="2"/>
  <c r="E16" i="2"/>
  <c r="E24" i="2"/>
  <c r="C46" i="2" l="1"/>
  <c r="C48" i="2" s="1"/>
  <c r="C50" i="2" s="1"/>
  <c r="E38" i="2"/>
  <c r="E41" i="2" s="1"/>
  <c r="C12" i="40"/>
  <c r="C14" i="40" s="1"/>
  <c r="D34" i="19"/>
  <c r="E17" i="2"/>
  <c r="D30" i="39"/>
  <c r="D32" i="39" s="1"/>
  <c r="D51" i="2"/>
  <c r="E26" i="2"/>
  <c r="E27" i="2" s="1"/>
  <c r="E37" i="1"/>
  <c r="E46" i="2" l="1"/>
  <c r="E48" i="2" s="1"/>
  <c r="E50" i="2" s="1"/>
  <c r="D37" i="19"/>
  <c r="C18" i="2" s="1"/>
  <c r="C21" i="2" s="1"/>
  <c r="F34" i="19"/>
  <c r="F37" i="19" s="1"/>
  <c r="F43" i="47"/>
  <c r="C16" i="39" s="1"/>
  <c r="D17" i="39" s="1"/>
  <c r="D49" i="19" l="1"/>
  <c r="D19" i="39"/>
  <c r="E18" i="2"/>
  <c r="D51" i="19" l="1"/>
  <c r="C20" i="2" s="1"/>
  <c r="F49" i="19"/>
  <c r="F51" i="19" s="1"/>
  <c r="E20" i="2" l="1"/>
  <c r="E21" i="2" s="1"/>
  <c r="C29" i="2"/>
  <c r="C51" i="2" s="1"/>
  <c r="E29" i="2" l="1"/>
  <c r="E51" i="2" s="1"/>
  <c r="D30" i="42"/>
  <c r="D31" i="42" s="1"/>
  <c r="D32" i="42" s="1"/>
  <c r="D33" i="42" s="1"/>
</calcChain>
</file>

<file path=xl/sharedStrings.xml><?xml version="1.0" encoding="utf-8"?>
<sst xmlns="http://schemas.openxmlformats.org/spreadsheetml/2006/main" count="1425" uniqueCount="901">
  <si>
    <t xml:space="preserve"> </t>
  </si>
  <si>
    <t>FONDO PATRIMONIAL DE LAS EMPRESAS REFORMADAS</t>
  </si>
  <si>
    <t xml:space="preserve">ESTADO DE SITUACIÓN </t>
  </si>
  <si>
    <t>Valores expresados en RD$</t>
  </si>
  <si>
    <t>Notas</t>
  </si>
  <si>
    <t>Mes Actual</t>
  </si>
  <si>
    <t>Mes Anterior</t>
  </si>
  <si>
    <t>Variación</t>
  </si>
  <si>
    <t>ACTIVOS</t>
  </si>
  <si>
    <t>Corrientes:</t>
  </si>
  <si>
    <t xml:space="preserve">Efectivo en caja y banco            </t>
  </si>
  <si>
    <t xml:space="preserve">Inversiones a corto plazo           </t>
  </si>
  <si>
    <t xml:space="preserve">Cuentas por cobrar                    </t>
  </si>
  <si>
    <t>Inventario</t>
  </si>
  <si>
    <t xml:space="preserve">Gastos pagados por anticipado               </t>
  </si>
  <si>
    <t>Total activos corrientes</t>
  </si>
  <si>
    <t>No Corrientes:</t>
  </si>
  <si>
    <t>Inversiones en acciones</t>
  </si>
  <si>
    <t>Avances a futuras capitalizaciones</t>
  </si>
  <si>
    <t>Mobiliarios y equipos, Neto</t>
  </si>
  <si>
    <t>Total activos no corrientes</t>
  </si>
  <si>
    <t>TOTAL ACTIVOS</t>
  </si>
  <si>
    <t>PASIVOS</t>
  </si>
  <si>
    <t xml:space="preserve">Cuentas por pagar proveedores                     </t>
  </si>
  <si>
    <t xml:space="preserve">Cuentas por pagar contratistas                           </t>
  </si>
  <si>
    <t>Gastos de personal por pagar</t>
  </si>
  <si>
    <t>Deducciones y retenciones por pagar</t>
  </si>
  <si>
    <t xml:space="preserve">Otras cuentas por pagar                   </t>
  </si>
  <si>
    <t>TOTAL PASIVOS</t>
  </si>
  <si>
    <t>PATRIMONIO</t>
  </si>
  <si>
    <t xml:space="preserve">Patrimonio Institucional </t>
  </si>
  <si>
    <t>Resultado del ejercicio anterior</t>
  </si>
  <si>
    <t>Resultado del ejercicio corriente</t>
  </si>
  <si>
    <t>TOTAL PATRIMONIO</t>
  </si>
  <si>
    <t>TOTAL PASIVOS Y PATRIMONIO</t>
  </si>
  <si>
    <t>Carlos Suberví</t>
  </si>
  <si>
    <t>Marleny Medrano</t>
  </si>
  <si>
    <t>Encargado División de Contabilidad</t>
  </si>
  <si>
    <t>Directora Administrativa Financiera</t>
  </si>
  <si>
    <t>José E. Florentino</t>
  </si>
  <si>
    <t>Presidente</t>
  </si>
  <si>
    <t xml:space="preserve">ESTADO DE RESULTADOS </t>
  </si>
  <si>
    <t>NOTAS</t>
  </si>
  <si>
    <t>Acumulado al Mes Actual</t>
  </si>
  <si>
    <t>Acumulado al Mes Anterior</t>
  </si>
  <si>
    <t>Ingresos:</t>
  </si>
  <si>
    <t xml:space="preserve">Participación en las Empresas Reformadas     </t>
  </si>
  <si>
    <t xml:space="preserve">Intereses ganados                              </t>
  </si>
  <si>
    <t xml:space="preserve">Otros ingresos                                </t>
  </si>
  <si>
    <t>Total ingresos</t>
  </si>
  <si>
    <t>Gastos de operaciones:</t>
  </si>
  <si>
    <t xml:space="preserve">Remuneraciones                              </t>
  </si>
  <si>
    <t xml:space="preserve">Servicios no personales             </t>
  </si>
  <si>
    <t xml:space="preserve">Materiales y suministros             </t>
  </si>
  <si>
    <t xml:space="preserve">Transferencias y donaciones    </t>
  </si>
  <si>
    <t>Total gastos de operaciones</t>
  </si>
  <si>
    <t>Resultado en operaciones</t>
  </si>
  <si>
    <t>Otros ingresos (gastos) no operacionales:</t>
  </si>
  <si>
    <t>Ganancia en operaciones cambiarias</t>
  </si>
  <si>
    <t>(Pérdida) en operaciones cambiarias</t>
  </si>
  <si>
    <t>Total otros ingresos (gastos) no operacionales:</t>
  </si>
  <si>
    <t>RESULTADO NETO</t>
  </si>
  <si>
    <t xml:space="preserve"> Carlos Suberví</t>
  </si>
  <si>
    <t xml:space="preserve">ANEXOS DE ESTADO DE SITUACIÓN </t>
  </si>
  <si>
    <t>VALORES EXPRESADOS EN RD$</t>
  </si>
  <si>
    <t>EFECTIVO EN CAJA Y BANCO:</t>
  </si>
  <si>
    <t>CAJA GENERAL</t>
  </si>
  <si>
    <t>FONDO DE CAJA CHICA</t>
  </si>
  <si>
    <t>BANCO DE RESERVAS (CTA. OPERATIVA)</t>
  </si>
  <si>
    <t>BANCO DE RESERVAS (CTA. NÓMINA)</t>
  </si>
  <si>
    <t>CTA AHORRO DÓLARES BCO DE RESERVAS A LA PAR</t>
  </si>
  <si>
    <t>CTA AHORRO DÓLARES BCO DE RESERVAS PRIMA</t>
  </si>
  <si>
    <t>TOTAL EFECTIVO EN CAJA Y BANCO</t>
  </si>
  <si>
    <t xml:space="preserve">    </t>
  </si>
  <si>
    <t>TOTAL INVERSIONES A CORTO PLAZO</t>
  </si>
  <si>
    <t>CUENTAS POR COBRAR:</t>
  </si>
  <si>
    <t>AVANCES CONTRATOS DE CONSTRUCCIÓN</t>
  </si>
  <si>
    <t>ANTICIPOS EN COMPRAS</t>
  </si>
  <si>
    <t>CUENTAS POR COBRAR EMPLEADOS</t>
  </si>
  <si>
    <t>CUENTAS POR COBRAR MANTENIMIENTO EDIFICIO</t>
  </si>
  <si>
    <t>TOTAL CUENTAS POR COBRAR</t>
  </si>
  <si>
    <t>INVENTARIO:</t>
  </si>
  <si>
    <t>EXISTENCIAS ALMACÉN 1</t>
  </si>
  <si>
    <t>EXISTENCIAS ALMACÉN 2</t>
  </si>
  <si>
    <t>TOTAL INVENTARIO</t>
  </si>
  <si>
    <t>GASTOS PAGADOS POR ANTICIPADO:</t>
  </si>
  <si>
    <t>SEGUROS DE BIENES</t>
  </si>
  <si>
    <t>LICENCIAS</t>
  </si>
  <si>
    <t>TOTAL GASTOS PAGADOS POR ANTICIPADO</t>
  </si>
  <si>
    <t>INVERSIONES EN ACCIONES:</t>
  </si>
  <si>
    <t>PARTICIPACIÓN EN LA TABACALERA, S. A.</t>
  </si>
  <si>
    <t>BENEFICIOS (PÉRDIDAS) ACUMULADAS</t>
  </si>
  <si>
    <t>RESERVA LEGAL</t>
  </si>
  <si>
    <t>PARTICIPACIÓN EN LA TABACALERA, S. A., NETO</t>
  </si>
  <si>
    <t>PARTICIPACIÓN EN EGEITABO</t>
  </si>
  <si>
    <t>PARTICIPACIÓN EN EGEITABO, NETO</t>
  </si>
  <si>
    <t>PARTICIPACIÓN EN MOLINOS DEL OZAMA</t>
  </si>
  <si>
    <t>PARTICIPACIÓN EN MOLINOS DEL OZAMA, NETO</t>
  </si>
  <si>
    <t>PARTICIPACIÓN EN EGEHAINA</t>
  </si>
  <si>
    <t>PARTICIPACIÓN EN EGEHAINA, NETO</t>
  </si>
  <si>
    <t>PARTICIPACIÓN EN EDENORTE</t>
  </si>
  <si>
    <t>PARTICIPACIÓN EN EDENORTE, NETO</t>
  </si>
  <si>
    <t>PARTICIPACIÓN EN EDESUR</t>
  </si>
  <si>
    <t>PARTICIPACIÓN EN EDESUR, NETO</t>
  </si>
  <si>
    <t>PARTICIPACIÓN EN EDEESTE</t>
  </si>
  <si>
    <t>PARTICIPACIÓN EN EDEESTE, NETO</t>
  </si>
  <si>
    <t>TOTAL INVERSIONES EN ACCIONES</t>
  </si>
  <si>
    <t>AVANCES A FUTURAS CAPITALIZACIONES:</t>
  </si>
  <si>
    <t>LA TABACALERA, S. A.</t>
  </si>
  <si>
    <t>EDENORTE</t>
  </si>
  <si>
    <t>EDEESTE</t>
  </si>
  <si>
    <t>TOTAL AVANCES A FUTURAS CAPITALIZACIONES</t>
  </si>
  <si>
    <t>MOBILIARIOS Y EQUIPOS, NETO</t>
  </si>
  <si>
    <t>MOBILIARIOS Y EQUIPOS DE OFICINA</t>
  </si>
  <si>
    <t>DEPRECIACIÓN ACUMULADA</t>
  </si>
  <si>
    <t>ARMAS DE FUEGO</t>
  </si>
  <si>
    <t>EQUIPOS DE TRANSPORTE</t>
  </si>
  <si>
    <t>SOFTWARE</t>
  </si>
  <si>
    <t>AMORTIZACIÓN ACUMULADA</t>
  </si>
  <si>
    <t>TOTAL MOBILIARIOS Y EQUIPOS, NETO</t>
  </si>
  <si>
    <t>CUENTAS POR PAGAR:</t>
  </si>
  <si>
    <t>CUENTAS POR PAGAR PROVEEDORES</t>
  </si>
  <si>
    <t>SERVICIOS GENERALES POR PAGAR</t>
  </si>
  <si>
    <t>CAJA CHICA POR PAGAR</t>
  </si>
  <si>
    <t>CUENTAS POR PAGAR EMPLEADOS</t>
  </si>
  <si>
    <t>CUENTAS POR PAGAR RETENCIONES</t>
  </si>
  <si>
    <t xml:space="preserve">TOTAL CUENTAS POR PAGAR PROVEEDORES </t>
  </si>
  <si>
    <t>CUENTAS POR PAGAR CONTRATISTAS Y SERVICIOS Y HONORARIOS:</t>
  </si>
  <si>
    <t>CUENTAS POR PAGAR CONSTRUCCIONES DE INFRAESTRUCTURA</t>
  </si>
  <si>
    <t>CUENTAS POR PAGAR SERVICIOS Y HONORARIOS</t>
  </si>
  <si>
    <t>TOTAL CUENTAS POR PAGAR CONTRATISTAS Y SERVICIOS Y HONORARIOS</t>
  </si>
  <si>
    <t>GASTOS DE PERSONAL POR PAGAR:</t>
  </si>
  <si>
    <t>SALARIOS POR PAGAR</t>
  </si>
  <si>
    <t>GRATIFICACIONES Y BONIFICACIONES POR PAGAR</t>
  </si>
  <si>
    <t>VACACIONES POR PAGAR</t>
  </si>
  <si>
    <t>REGALÍA PASCUAL POR PAGAR</t>
  </si>
  <si>
    <t>TOTAL GASTOS DE PERSONAL POR PAGAR</t>
  </si>
  <si>
    <t>DEDUCCIONES Y RETENCIONES POR PAGAR:</t>
  </si>
  <si>
    <t>RETENCIÓN ITBIS</t>
  </si>
  <si>
    <t>RETENCIÓN CODIA</t>
  </si>
  <si>
    <t>RETENCIÓN FOPETCONS</t>
  </si>
  <si>
    <t>TOTAL DEDUCCIONES Y RETENCIONES POR PAGAR</t>
  </si>
  <si>
    <t>OTRAS CUENTAS POR PAGAR:</t>
  </si>
  <si>
    <t>TOTAL OTRAS CUENTAS POR PAGAR</t>
  </si>
  <si>
    <t>ANEXOS ESTADO DE RESULTADOS</t>
  </si>
  <si>
    <t>Acumulado Mes Actual</t>
  </si>
  <si>
    <t>Acumulado Mes Anterior</t>
  </si>
  <si>
    <t>INGRESOS POR PARTICIPACIÓN EN EMPRESAS REFORMADAS:</t>
  </si>
  <si>
    <t>INGRESO POR PARTICIPACIÓN EGEITABO</t>
  </si>
  <si>
    <t>INGRESO POR PARTICIPACIÓN MOLINOS DEL OZAMA</t>
  </si>
  <si>
    <t>INGRESO POR PARTICIPACIÓN EGEHAINA</t>
  </si>
  <si>
    <t>TOTAL INGRESOS POR PARTICIPACIÓN EN EMPRESAS REFORMADAS</t>
  </si>
  <si>
    <t>INTERESES GANADOS:</t>
  </si>
  <si>
    <t>BANCO DE RESERVAS</t>
  </si>
  <si>
    <t>TOTAL INTERESES GANADOS</t>
  </si>
  <si>
    <t>OTROS INGRESOS:</t>
  </si>
  <si>
    <t>OTROS INGRESOS</t>
  </si>
  <si>
    <t>TOTAL OTROS INGRESOS</t>
  </si>
  <si>
    <t>REMUNERACIONES:</t>
  </si>
  <si>
    <t>SUELDOS PARA CARGOS FIJOS</t>
  </si>
  <si>
    <t>COMPENSACIÓN POR GASTOS DE ALIMENTOS</t>
  </si>
  <si>
    <t>COMPENSACIÓN POR HORAS EXTRAS</t>
  </si>
  <si>
    <t>COMPENSACIÓN POR SERVICIOS DE SEGURIDAD</t>
  </si>
  <si>
    <t>COMPENSACIÓN AL CONSEJO DE DIRECTORES</t>
  </si>
  <si>
    <t>FESTIVIDADES</t>
  </si>
  <si>
    <t>HONORARIOS PROFESIONALES Y TÉCNICOS</t>
  </si>
  <si>
    <t>DIETAS EN EL PAÍS</t>
  </si>
  <si>
    <t>GASTOS DE REPRESENTACIÓN</t>
  </si>
  <si>
    <t>SUELDOS NAVIDEÑOS</t>
  </si>
  <si>
    <t>BONIFICACIONES</t>
  </si>
  <si>
    <t>PRESTACIONES LABORALES</t>
  </si>
  <si>
    <t>PAGOS DE VACACIONES</t>
  </si>
  <si>
    <t>INCENTIVO POR VACACIONES</t>
  </si>
  <si>
    <t>CONTRIBUCIÓN SEGURIDAD SOCIAL Y RIESGO LABORAL</t>
  </si>
  <si>
    <t>TOTAL REMUNERACIONES</t>
  </si>
  <si>
    <t>SERVICIOS NO PERSONALES:</t>
  </si>
  <si>
    <t>TELÉFONO LOCAL</t>
  </si>
  <si>
    <t>INTERNET Y TV POR CABLE</t>
  </si>
  <si>
    <t>ELECTRICIDAD</t>
  </si>
  <si>
    <t>AGUA</t>
  </si>
  <si>
    <t>LIMPIEZA E HIGIENE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</si>
  <si>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</si>
  <si>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</si>
  <si>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</si>
  <si>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</si>
  <si>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</si>
  <si>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PASAJES</t>
  </si>
  <si>
    <t>PEAJES</t>
  </si>
  <si>
    <t>ALQUILER MAQUINARIAS Y EQUIPOS DE OFICINAS</t>
  </si>
  <si>
    <t>SEGUROS DE BIENES MUEBLES</t>
  </si>
  <si>
    <t>SEGUROS DE PERSONAS</t>
  </si>
  <si>
    <t>OBRAS MENORES</t>
  </si>
  <si>
    <t>MANTENIMIENTO Y REPARACIÓN MOBILIARIOS Y EQUIPOS</t>
  </si>
  <si>
    <t>MANTENIMIENTO EQUIPOS DE TRANSPORTE, TRACCIÓN Y</t>
  </si>
  <si>
    <t>MEJORAS Y EMBELLECIMIENTO DE INSTALACIONES</t>
  </si>
  <si>
    <t>OTROS ALQUILERES</t>
  </si>
  <si>
    <t>MANTENIMIENTO DEL SISTEMA ELÉCTRICO</t>
  </si>
  <si>
    <t>GASTOS JUDICIALES</t>
  </si>
  <si>
    <t>COMISIONES Y GASTOS BANCARIOS</t>
  </si>
  <si>
    <t>AUDITORIA Y ESTUDIOS FINANCIEROS</t>
  </si>
  <si>
    <t>SERVICIOS FUNERARIOS Y GASTOS CONEXOS</t>
  </si>
  <si>
    <t>SERVICIOS ESPECIALES</t>
  </si>
  <si>
    <t>SERVICIOS TÉCNICOS Y PROFESIONALES</t>
  </si>
  <si>
    <t>IMPUESTOS, DERECHOS Y TASAS</t>
  </si>
  <si>
    <t>SERVICIOS DE CAPACITACIÓN</t>
  </si>
  <si>
    <t>MEMBRESIA</t>
  </si>
  <si>
    <t>TOTAL SERVICIOS NO PERSONALES</t>
  </si>
  <si>
    <t>MATERIALES Y SUMINISTROS:</t>
  </si>
  <si>
    <t>ALIMENTOS Y BEBIDAS PARA PERSONAS</t>
  </si>
  <si>
    <t>PRENDAS DE VESTIR</t>
  </si>
  <si>
    <t>PRODUCTOS DE PAPEL Y CARTÓN</t>
  </si>
  <si>
    <t>LIBROS, REVISTAS Y PERIÓDICOS</t>
  </si>
  <si>
    <t>COMBUSTIBLES Y LUBRICANTES</t>
  </si>
  <si>
    <t>PRODUCTOS FARMACÉUTICOS Y CONEXOS</t>
  </si>
  <si>
    <t>MATERIALES DE LIMPIEZA</t>
  </si>
  <si>
    <t>ÚTILES DE ESCRITORIOS, OFICINAS Y ENSEÑANZA</t>
  </si>
  <si>
    <t>ÚTILES DE COCINA Y COMEDOR</t>
  </si>
  <si>
    <t>PRODUCTOS ELÉCTRICOS Y AFINES</t>
  </si>
  <si>
    <t>ÚTILES DIVERSOS</t>
  </si>
  <si>
    <t>DEPRECIACIÓN MOBILIARIOS Y EQUIPOS DE OFICINA</t>
  </si>
  <si>
    <t>DEPRECIACIÓN EQUIPOS DE TRANSPORTE</t>
  </si>
  <si>
    <t>AMORTIZACIÓN BIENES INTANGIBLES</t>
  </si>
  <si>
    <t>DEPRECIACIÓN ARMAS DE FUEGO</t>
  </si>
  <si>
    <t>TOTAL MATERIALES Y SUMINISTROS</t>
  </si>
  <si>
    <t>TRANSFERENCIAS Y DONACIONES:</t>
  </si>
  <si>
    <t>AYUDAS Y DONACIONES A PERSONAS</t>
  </si>
  <si>
    <t>TRANSFERENCIA A INSTITUCIONES SIN FINES DE LUCRO</t>
  </si>
  <si>
    <t>CONTRATISTAS DE OBRAS</t>
  </si>
  <si>
    <t>VIÁTICOS Y DIETAS PARA SUPERVISAR OBRAS</t>
  </si>
  <si>
    <t>COMPRA DE EQUIPOS PARA PROYECTOS</t>
  </si>
  <si>
    <t>OTROS GASTOS DE PROYECTOS</t>
  </si>
  <si>
    <t>TRANSFERENCIA DE CAPITAL A INSTITUCIONES SIN FINES DE LUCRO</t>
  </si>
  <si>
    <t>TRANSFERENCIAS A OTRAS INSTITUCIONES PÚBLICAS</t>
  </si>
  <si>
    <t>TOTAL TRANSFERENCIAS Y DONACIONES</t>
  </si>
  <si>
    <t>OTROS INGRESOS (GASTOS) NO OPERACIONALES:</t>
  </si>
  <si>
    <t>GANANCIA EN OPERACIONES CAMBIARIAS</t>
  </si>
  <si>
    <t>(PÉRDIDA) EN OPERACIONES CAMBIARIAS</t>
  </si>
  <si>
    <t>(PÉRDIDA) POR DETERIORO EN ACTIVOS</t>
  </si>
  <si>
    <t>TOTAL OTROS INGRESOS (GASTOS) NO OPERACIONALES</t>
  </si>
  <si>
    <t>Nota</t>
  </si>
  <si>
    <t>PATRIMONIO INSTITUCIONAL</t>
  </si>
  <si>
    <t>Descripción</t>
  </si>
  <si>
    <t>% De</t>
  </si>
  <si>
    <t>Cantidad de</t>
  </si>
  <si>
    <t xml:space="preserve">Total </t>
  </si>
  <si>
    <t>EMPRESA</t>
  </si>
  <si>
    <t>Participación</t>
  </si>
  <si>
    <t>Acciones</t>
  </si>
  <si>
    <t xml:space="preserve">Aporte </t>
  </si>
  <si>
    <t>EGEITABO</t>
  </si>
  <si>
    <t>MOLINOS DEL OZAMA</t>
  </si>
  <si>
    <t>EGEHAINA</t>
  </si>
  <si>
    <t>EDESUR</t>
  </si>
  <si>
    <t>TOTAL INVERSIONES EN PATRIMONIO INSTITUCIONAL</t>
  </si>
  <si>
    <t>NOTA 1</t>
  </si>
  <si>
    <t>Cédula de detalle de cuentas</t>
  </si>
  <si>
    <t>Efectivo en Caja y Banco</t>
  </si>
  <si>
    <t>Tasa de cambio</t>
  </si>
  <si>
    <t>Monto RD$</t>
  </si>
  <si>
    <t>Caja general</t>
  </si>
  <si>
    <t>Caja chica</t>
  </si>
  <si>
    <t>Cuenta corriente operativa RD$</t>
  </si>
  <si>
    <t>Cuenta corriente nómina RD$</t>
  </si>
  <si>
    <t>Cuenta de ahorro en US$, a la par</t>
  </si>
  <si>
    <t>Cuenta de ahorro en US$, prima</t>
  </si>
  <si>
    <t>Condición correcta, con tasa al RD$57.50</t>
  </si>
  <si>
    <t xml:space="preserve"> x 57.50</t>
  </si>
  <si>
    <t>Condición Actual en sistema</t>
  </si>
  <si>
    <t>Corrección necesaria</t>
  </si>
  <si>
    <t>NOTA 2</t>
  </si>
  <si>
    <t>Inversiones a Corto Plazo</t>
  </si>
  <si>
    <t>Monto US$</t>
  </si>
  <si>
    <t>BR - 9606264085</t>
  </si>
  <si>
    <t>BR - 9607363302</t>
  </si>
  <si>
    <t>Total</t>
  </si>
  <si>
    <t>NOTA 3</t>
  </si>
  <si>
    <t>Cuentas por Cobrar</t>
  </si>
  <si>
    <t>Avance contratos de construcción</t>
  </si>
  <si>
    <t>Anticipo en compras</t>
  </si>
  <si>
    <t>Intereses certificados RD$ Banreservas</t>
  </si>
  <si>
    <t>Cuentas por cobrar a empleados</t>
  </si>
  <si>
    <t>Cuentas por cobrar mantenimiento edificio</t>
  </si>
  <si>
    <t>ANÁLISIS BALANCE CUENTA AVANCE CONTRATOS DE CONSTRUCCIÓN</t>
  </si>
  <si>
    <t>BALANCE</t>
  </si>
  <si>
    <t>EJECUTADO</t>
  </si>
  <si>
    <t>ANTERIOR</t>
  </si>
  <si>
    <t>ACTUAL</t>
  </si>
  <si>
    <t>JOSE RAMON MARTINEZ HENRIQUEZ / ROBERT ANTONIO ALMANZAR MERCADO</t>
  </si>
  <si>
    <t>PARQUE ECOLOGICO LAS LAGUNAS</t>
  </si>
  <si>
    <t>P/ CORREGIR BALANCE PROVEEDOR POR DISMINUCION EN PARTIDA DE IMPREVISTOS Y AUMENTO DE ITBIS</t>
  </si>
  <si>
    <t>FELIX MARIA UBIERA SATURRIA</t>
  </si>
  <si>
    <t>MANUEL ARCIDE DE LOS SANTOS BAUTISTA</t>
  </si>
  <si>
    <t>JIMENEZ ALBA Y ASCIADOS SRL</t>
  </si>
  <si>
    <t>CONSTRUCCIONES Y EQUIPOS MOLINAS SRL</t>
  </si>
  <si>
    <t>CONSTR DE 5 VIVIENDAS DE 2 Y 3 DORMITORIOS EN DIFERENTES SECTORES EN STO DGO</t>
  </si>
  <si>
    <t>MADELINE CANARIO OLIO</t>
  </si>
  <si>
    <t>CONSTRUCCION DE UNA PANADERIA REPOSTERIA EN SABANA LARGA, ELIAS PIÑA</t>
  </si>
  <si>
    <t>PLANTA FISICA PINEDA</t>
  </si>
  <si>
    <t>CONSTRUCCION LOTE #9 DE 15 VIVIENDAS ECONOMICAS, EN SAN JUAN DE LA MAGUANA 150 VIVIENDAS</t>
  </si>
  <si>
    <t>GAMUNDY CRUZ MADERA</t>
  </si>
  <si>
    <t>CONSTRUCCION DE 5 VIVIENDAS ECONOMICAS EN DIFERENTES SECTORES DE SANTIAGO</t>
  </si>
  <si>
    <t>MANUEL ANTONIO MERCEDES ESCOTO</t>
  </si>
  <si>
    <t>CONSTRUCCION DE UN  DESTACAMENTO POLICIAL EN QUITA CORAZA, BARAHONA</t>
  </si>
  <si>
    <t>MIGUEL ANTONIO BERMUDEZ TORIBIO</t>
  </si>
  <si>
    <t>CONSTRUCCION,TERMINACION Y REPARACION DE 6 VIVIENDAS ECONOMICAS EN DIF. SECTORES,STGO</t>
  </si>
  <si>
    <t>SANTO ALOMAR MARIA UREÑA</t>
  </si>
  <si>
    <t>CONSTRUCCION DE CENTRO DE CONFECCION TEXTIL PEDRO GARCIA, SANTIAGO.</t>
  </si>
  <si>
    <t>FABIOLA HAYDEE REYES MATOS</t>
  </si>
  <si>
    <t>CONSTRUCCION  DE PANADERIA REPOSTERIA LA CUMBRE, SANTIAGO.</t>
  </si>
  <si>
    <t>TATIANA PUELLO MEDINA</t>
  </si>
  <si>
    <t>CONSTRUCCION DE UN PLAY DE BASEBALL MAMBUICHE, GURABO, SANTIAGO.</t>
  </si>
  <si>
    <t>CAROLINE MANUELA LOPEZ REYES</t>
  </si>
  <si>
    <t>CONSTRUCCION DE (6) VIVIENDAS, TERMINACION DE (3) Y REPARACION DE (1) EN DIFERENTES SECTORES DE SANTIAGO</t>
  </si>
  <si>
    <t>COFEMONT, SRL</t>
  </si>
  <si>
    <t>CONSTR. DE PANADERIA REPOSTERIA LA LEONOR, PARAJE LA LEONOR MUNICIPIO SABANETA, SANTIAGO RODRIGUEZ.</t>
  </si>
  <si>
    <t>NEZARCA CONSTRUCTORA, SRL</t>
  </si>
  <si>
    <t>CONSTR. DE (4) VIVIENDAS ECONOMICAS EN DIF. SECTORES DE STO, DGO Y (1) EN SAN CRISTOBAL.</t>
  </si>
  <si>
    <t>CONSTR. DE PANADERIA REPOSTERIA Y SALON MULTIUSO LA BUENA ESPERANZA, EL PINO EN DAJABON.</t>
  </si>
  <si>
    <t>CONSTR. PANADERIA REPOSTERIA LAS MATAS DE FARFAN EN MUNICIPIO LAS MATAS DE FARFAN, SAN JUAN.</t>
  </si>
  <si>
    <t>CONSTRUCTORA SOSANMA S.R.L</t>
  </si>
  <si>
    <t>AVANCE EL 20% DEL PROYECTO CONST.(2)VIVIENDAS ECONOMICAS EN DIF. SECTORES D/ PROV.HERMANAS MIRABAL.</t>
  </si>
  <si>
    <t>CONSTRUCCIONES PALOMINO S.R.L</t>
  </si>
  <si>
    <t>AVANCE 20% PARA CONST.ESCALERA EMERGENCIA FONPER SEGUN CONTRATO 2023-38</t>
  </si>
  <si>
    <t>CONSTRUCTORA VIASAN &amp; ASOCIADOS, S.R.L.</t>
  </si>
  <si>
    <t>AVANCE 20% S/CONT.2023-041 P/TERMINACION CONSTRUCCION VIVIENDAS 4 STDO DGO Y 1 SAN CRISTOBAL.</t>
  </si>
  <si>
    <t>TERCOTECH S.R.L</t>
  </si>
  <si>
    <t>AVANCE 20% S/CONTRATO 2023-042 P/CONST.CENTRO TEXTIL PEDRO GARCIA STGO</t>
  </si>
  <si>
    <t>SANCHTE CONSTRUCTION AND BUILDING,S.R.L</t>
  </si>
  <si>
    <t>AVANCE 20% S/CONTRATO 2023-040 P/TERMINACION PABADERIA REPOST. SABANA LARGA ELIAS PIÑA</t>
  </si>
  <si>
    <t>GRUPO LUYAN S.R.L</t>
  </si>
  <si>
    <t>TOTAL</t>
  </si>
  <si>
    <t>cuenta no. 1104-01-001</t>
  </si>
  <si>
    <t>Anticipos en Compras</t>
  </si>
  <si>
    <t>FECHA</t>
  </si>
  <si>
    <t>NO. CHEQUE</t>
  </si>
  <si>
    <t>SUPLIDOR</t>
  </si>
  <si>
    <t>VALOR</t>
  </si>
  <si>
    <t>CONCEPTO</t>
  </si>
  <si>
    <t xml:space="preserve">SUIM SUPLIDORES INSTITUCIONALES </t>
  </si>
  <si>
    <t>AVANCE</t>
  </si>
  <si>
    <t>SKETCHPROM, SRL</t>
  </si>
  <si>
    <t>MOTYKA, S.R.L.</t>
  </si>
  <si>
    <t>CUENTA 1104-01-004</t>
  </si>
  <si>
    <t>Intereses de cuenta Ahorros US$ BR</t>
  </si>
  <si>
    <t>CUENTAS POR COBRAR A EMPLEADOS</t>
  </si>
  <si>
    <t>RELACIÓN DE DESCUENTO TELÉFONO</t>
  </si>
  <si>
    <t>No.</t>
  </si>
  <si>
    <t xml:space="preserve">NOMBRE </t>
  </si>
  <si>
    <t>CÉDULA</t>
  </si>
  <si>
    <t>CARGO</t>
  </si>
  <si>
    <t xml:space="preserve">MONTO TOTAL </t>
  </si>
  <si>
    <t xml:space="preserve">NO. DE CUOTAS </t>
  </si>
  <si>
    <t>MONTO DE LA CUOTA</t>
  </si>
  <si>
    <t>MONTO DE LAS CUOTAS DESCONTADAS</t>
  </si>
  <si>
    <t xml:space="preserve">BALANCE CXC </t>
  </si>
  <si>
    <t>001-1231063-6</t>
  </si>
  <si>
    <t>ENCARGADO</t>
  </si>
  <si>
    <t>Cliente</t>
  </si>
  <si>
    <t>Superintendencia de Electricidad</t>
  </si>
  <si>
    <t>Comisión Nacional de Energía</t>
  </si>
  <si>
    <t>Cuenta  1104-02-998-011</t>
  </si>
  <si>
    <t>NOTA 4</t>
  </si>
  <si>
    <t>Existencias Almacén 1</t>
  </si>
  <si>
    <t xml:space="preserve">Grupo 001- útiles de oficina </t>
  </si>
  <si>
    <t>Grupo 023- útiles de oficina poco uso</t>
  </si>
  <si>
    <t xml:space="preserve">Grupo 002- útiles de cocina </t>
  </si>
  <si>
    <t>Grupo 004- útiles de limpieza</t>
  </si>
  <si>
    <t>Grupo 0043- alimentos y bebidas</t>
  </si>
  <si>
    <t>Grupo 0045- cartuchos y tóner</t>
  </si>
  <si>
    <t>Grupo 0042- productos diversos</t>
  </si>
  <si>
    <t>Sub-total existencias Almacén 1</t>
  </si>
  <si>
    <t>Existencias Almacén 2</t>
  </si>
  <si>
    <t>Ebanistería</t>
  </si>
  <si>
    <t>Eléctricos</t>
  </si>
  <si>
    <t>Herramientas</t>
  </si>
  <si>
    <t>Plomería</t>
  </si>
  <si>
    <t>Pintura</t>
  </si>
  <si>
    <t>Refrigeración</t>
  </si>
  <si>
    <t>Sub-total existencias Almacén 2</t>
  </si>
  <si>
    <t>NOTA 5</t>
  </si>
  <si>
    <t>Gastos pagados por anticipado</t>
  </si>
  <si>
    <t>Seguros de bienes</t>
  </si>
  <si>
    <t>Licencia Microsoft 365</t>
  </si>
  <si>
    <t>Licencia Mesa de Ayuda JIRA</t>
  </si>
  <si>
    <t>Licencia Anti Desastres</t>
  </si>
  <si>
    <t xml:space="preserve">Licencia de Software Adobe </t>
  </si>
  <si>
    <t>Seguros Reservas prepagado</t>
  </si>
  <si>
    <t>Licencias Microsoft</t>
  </si>
  <si>
    <t>Licencias Jira</t>
  </si>
  <si>
    <t>Licencias Adobbe</t>
  </si>
  <si>
    <t>Corrección periodos anteriores</t>
  </si>
  <si>
    <t>Nuevo balance</t>
  </si>
  <si>
    <t>Pólizas de Seguros de la Institución</t>
  </si>
  <si>
    <t>DESDE EL 31 OCT 2024 HASTA EL 31 OCT 2025</t>
  </si>
  <si>
    <t>FACTURA</t>
  </si>
  <si>
    <t>NO. PÓLIZA</t>
  </si>
  <si>
    <t>VALOR RD$</t>
  </si>
  <si>
    <t>002914829</t>
  </si>
  <si>
    <t>2-2-502-0278183</t>
  </si>
  <si>
    <t>002893273</t>
  </si>
  <si>
    <t>2-2-201-0061783</t>
  </si>
  <si>
    <t>002893193</t>
  </si>
  <si>
    <t>2-2-801-0047211</t>
  </si>
  <si>
    <t>002893251</t>
  </si>
  <si>
    <t>2-2-815-0013469</t>
  </si>
  <si>
    <t>002893252</t>
  </si>
  <si>
    <t>2-2-812-0013468</t>
  </si>
  <si>
    <t>002914836</t>
  </si>
  <si>
    <t>2-2-503-0278669</t>
  </si>
  <si>
    <t>Menos DESCUENTO</t>
  </si>
  <si>
    <t>PAGO Ck no. 39929, d/f 22-11-2024</t>
  </si>
  <si>
    <t>TOTAL PAGADO</t>
  </si>
  <si>
    <t>GASTO MENSUAL</t>
  </si>
  <si>
    <t>NOVIEMBRE Y DICIEMBRE 2024</t>
  </si>
  <si>
    <t>ENERO - MARZO 2025</t>
  </si>
  <si>
    <t>ABRIL - OCTUBRE 2025</t>
  </si>
  <si>
    <t>AMORTIZACIÓN NOV. / 2024</t>
  </si>
  <si>
    <t>AMORTIZACIÓN DIC. / 2024</t>
  </si>
  <si>
    <t>AMORTIZACIÓN ENERO / 2025</t>
  </si>
  <si>
    <t>AMORTIZACIÓN FEBRERO / 2025</t>
  </si>
  <si>
    <t>AMORTIZACIÓN MARZO / 202</t>
  </si>
  <si>
    <t>AMORTIZACIÓN ABRIL / 2025</t>
  </si>
  <si>
    <t>AMORTIZACIÓN MAYO / 2025</t>
  </si>
  <si>
    <t>AMORTIZACIÓN JUNIO / 2025</t>
  </si>
  <si>
    <t>AMORTIZACIÓN JULIO / 2025</t>
  </si>
  <si>
    <t>AMORTIZACIÓN AGOSTO / 2025</t>
  </si>
  <si>
    <t>AMORTIZACIÓN SEPTIEMBRE / 2025</t>
  </si>
  <si>
    <t>AMORTIZACIÓN OCTUBRE / 2025</t>
  </si>
  <si>
    <t>AMORTIZACIÓN NOVIEMBRE / 2025</t>
  </si>
  <si>
    <t>TOTAL AMORTIZADO</t>
  </si>
  <si>
    <t>BALANCE ACTUAL</t>
  </si>
  <si>
    <t>Licencia de Microsoft 365</t>
  </si>
  <si>
    <t>MICROSOFT OFFICE</t>
  </si>
  <si>
    <t>DURACIÓN</t>
  </si>
  <si>
    <t>LICENCIA MICROSOFT 365</t>
  </si>
  <si>
    <t>1  AÑO</t>
  </si>
  <si>
    <t>DOC. NO.</t>
  </si>
  <si>
    <t>D/F</t>
  </si>
  <si>
    <t>NEVER OFF TECHNOLOGY</t>
  </si>
  <si>
    <t>X  10  =</t>
  </si>
  <si>
    <t>2  MESES</t>
  </si>
  <si>
    <t>X  2  =</t>
  </si>
  <si>
    <t>AMORTIZACIÓN AGO./2024</t>
  </si>
  <si>
    <t>AMORTIZACIÓN FEB./2025</t>
  </si>
  <si>
    <t>DESDE EL 1 AGOSTO 2024 HASTA EL 31 JULIO 2025</t>
  </si>
  <si>
    <t>MESA DE AYUDA JIRA</t>
  </si>
  <si>
    <t>LICENCIA MESA DE AYUDA JIRA</t>
  </si>
  <si>
    <t>HISPANIOLA TECHNOLOGY</t>
  </si>
  <si>
    <t>FACT NO.  375. CK 39824</t>
  </si>
  <si>
    <t>AGOSTO - DICIEMBRE 2024</t>
  </si>
  <si>
    <t>5  MESES</t>
  </si>
  <si>
    <t>X  5  =</t>
  </si>
  <si>
    <t>ENERO   -   JULIO 2025</t>
  </si>
  <si>
    <t>7  MESES</t>
  </si>
  <si>
    <t>X  7  =</t>
  </si>
  <si>
    <t>AMORTIZACIÓN SEPT/2024</t>
  </si>
  <si>
    <t>AMORTIZACIÓN OCT/2024</t>
  </si>
  <si>
    <t>AMORTIZACIÓN NOV/2024</t>
  </si>
  <si>
    <t>AMORTIZACIÓN DIC/2024</t>
  </si>
  <si>
    <t>AMORTIZACIÓN ENE/2025</t>
  </si>
  <si>
    <t>AMORTIZACIÓN MAR./2025</t>
  </si>
  <si>
    <t>AMORTIZACIÓN ABR./2025</t>
  </si>
  <si>
    <t>AMORTIZACIÓN MAY./2025</t>
  </si>
  <si>
    <t>AMORTIZACIÓN JUN./2025</t>
  </si>
  <si>
    <t>AMORTIZACIÓN JUL./2025</t>
  </si>
  <si>
    <t>LICENCIA ANTI DESASTRES</t>
  </si>
  <si>
    <t>X  8  =</t>
  </si>
  <si>
    <t>Licencias ADOBE</t>
  </si>
  <si>
    <t>OC 6475</t>
  </si>
  <si>
    <t>Balance</t>
  </si>
  <si>
    <t>Nota 6</t>
  </si>
  <si>
    <t>Dividendos por Participación en las Empresas Reformadas</t>
  </si>
  <si>
    <t>Detalles</t>
  </si>
  <si>
    <t>EGE Haina</t>
  </si>
  <si>
    <t>Molinos de Ozama</t>
  </si>
  <si>
    <t>Nota 7</t>
  </si>
  <si>
    <t>Avances a Futuras Capitalizaciones</t>
  </si>
  <si>
    <t>Detalle Avances a Futuras Capitalizaciones</t>
  </si>
  <si>
    <t>CHEQUE No.</t>
  </si>
  <si>
    <t>MONTO RD$</t>
  </si>
  <si>
    <t>LA TABACALERA</t>
  </si>
  <si>
    <t>Total RD$</t>
  </si>
  <si>
    <t>TOTAL LA TABACALERA</t>
  </si>
  <si>
    <t>NC 2641</t>
  </si>
  <si>
    <t>NC 2642</t>
  </si>
  <si>
    <t>TOTAL EDEESTE</t>
  </si>
  <si>
    <t>GRAND TOTAL</t>
  </si>
  <si>
    <t>FONDO PATRIMONIAL DE LAS EMP. REFORMADAS</t>
  </si>
  <si>
    <t>SUCURSAL   01</t>
  </si>
  <si>
    <t>FECHA DESDE.</t>
  </si>
  <si>
    <t>FECHA HASTA.</t>
  </si>
  <si>
    <t>BALANCE INICIAL</t>
  </si>
  <si>
    <t>PROVEEDOR     003071     LA TABACALERA, S. A.</t>
  </si>
  <si>
    <t>TIPO MOVI</t>
  </si>
  <si>
    <t>CHEQUE</t>
  </si>
  <si>
    <t>SALDO</t>
  </si>
  <si>
    <t>DEBITO</t>
  </si>
  <si>
    <t>Débito</t>
  </si>
  <si>
    <t>Totales</t>
  </si>
  <si>
    <t>PROVEEDOR    003130   EDEESTE</t>
  </si>
  <si>
    <t>Transf.</t>
  </si>
  <si>
    <t>NOTA 8</t>
  </si>
  <si>
    <t>Mobiliarios y Equipos, Neto</t>
  </si>
  <si>
    <t>Mobiliario y equipos de oficina</t>
  </si>
  <si>
    <t>Armas de fuego</t>
  </si>
  <si>
    <t>Equipos de transporte</t>
  </si>
  <si>
    <t>Total Activos Tangibles</t>
  </si>
  <si>
    <t>Software</t>
  </si>
  <si>
    <t>Total Activos Intangibles</t>
  </si>
  <si>
    <t>Total General</t>
  </si>
  <si>
    <t>Saldo inicial</t>
  </si>
  <si>
    <t>Adiciones</t>
  </si>
  <si>
    <t>Ajustes</t>
  </si>
  <si>
    <t>Retiros</t>
  </si>
  <si>
    <t>Reclasificaciones</t>
  </si>
  <si>
    <t>Total costo de adquisición</t>
  </si>
  <si>
    <t>Depreciación acumulada</t>
  </si>
  <si>
    <t>Cargos del periodo</t>
  </si>
  <si>
    <t>Ajustes y reclasificación</t>
  </si>
  <si>
    <t>Total depreciación acumulada</t>
  </si>
  <si>
    <t>Total Mobiliarios y Equipos, Neto</t>
  </si>
  <si>
    <t>NOTA 9</t>
  </si>
  <si>
    <t xml:space="preserve">Cuentas por pagar </t>
  </si>
  <si>
    <t xml:space="preserve">SERVICIOS GENERALES POR PAGAR </t>
  </si>
  <si>
    <t>JOSE MANUEL VALDES</t>
  </si>
  <si>
    <t>ESKIBEL SANCHEZ</t>
  </si>
  <si>
    <t>COLECTOR DE IMPUESTOS (Retenciones Proveedores ago 24)</t>
  </si>
  <si>
    <t>COLECTOR DE ITBIS (Retenciones Proveedores ago 24)</t>
  </si>
  <si>
    <t>ACUERDOS INTITUCIONALES POR PAGAR</t>
  </si>
  <si>
    <t>INFOTEP</t>
  </si>
  <si>
    <t>NOTA 10</t>
  </si>
  <si>
    <t>Cuentas por pagar Contratistas y Servicios y Honorarios</t>
  </si>
  <si>
    <t>TOTAL CUENTAS POR PAGAR CONTRATISTAS</t>
  </si>
  <si>
    <t>GRUPO LUNYAN, SRL</t>
  </si>
  <si>
    <t>LOURDES YNMACULADA DE OLEO VALENZUELA</t>
  </si>
  <si>
    <t>CESAR ANDRES PICHARDO FERMIN</t>
  </si>
  <si>
    <t>NOTA 11</t>
  </si>
  <si>
    <t>Salarios por pagar</t>
  </si>
  <si>
    <t>Gratificaciones y bonificaciones por pagar</t>
  </si>
  <si>
    <t>Contribución la Seguridad Social por pagar</t>
  </si>
  <si>
    <t>Vacaciones por pagar</t>
  </si>
  <si>
    <t>Regalía pascual por pagar</t>
  </si>
  <si>
    <t>Detalle de Salarios por pagar</t>
  </si>
  <si>
    <t>Pago Dieta del Consejo Administrativo correspondiente a oct 2024</t>
  </si>
  <si>
    <t>Gastos de representación presidente Fonper abril 2024</t>
  </si>
  <si>
    <t>Cálculo de la Provisión de Gratificaciones y Bonificaciones</t>
  </si>
  <si>
    <t>#</t>
  </si>
  <si>
    <t>Conceptos</t>
  </si>
  <si>
    <t>Nómina mensual</t>
  </si>
  <si>
    <t>Bono Aniversario (Fijos, Consejo, Militares) (1.0)</t>
  </si>
  <si>
    <t>Bono desempeño Fijos (1.0)</t>
  </si>
  <si>
    <t>Total bonificación anual proyectada</t>
  </si>
  <si>
    <t>Entre 12 meses</t>
  </si>
  <si>
    <t xml:space="preserve">   /  12  =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</si>
  <si>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</si>
  <si>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</si>
  <si>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</si>
  <si>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</si>
  <si>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</si>
  <si>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</si>
  <si>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</si>
  <si>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</si>
  <si>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</si>
  <si>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</si>
  <si>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 acumulado</t>
  </si>
  <si>
    <t xml:space="preserve">Enero </t>
  </si>
  <si>
    <t>Cálculo de la provisión de Regalía Navideña</t>
  </si>
  <si>
    <t xml:space="preserve">Militares </t>
  </si>
  <si>
    <t xml:space="preserve">Fijos </t>
  </si>
  <si>
    <t xml:space="preserve">Consejo  </t>
  </si>
  <si>
    <t>Dividido / 12 meses =</t>
  </si>
  <si>
    <t>Provisión mensual</t>
  </si>
  <si>
    <t xml:space="preserve">Febrero </t>
  </si>
  <si>
    <t>NOTA 12</t>
  </si>
  <si>
    <t>Deducciones y Retenciones por pagar</t>
  </si>
  <si>
    <t>Retención impuesto sobre la renta proveedores</t>
  </si>
  <si>
    <t>Retención ITBIS</t>
  </si>
  <si>
    <t>Retención CODIA</t>
  </si>
  <si>
    <t>Retención FOPETCONS</t>
  </si>
  <si>
    <t>Nota 13</t>
  </si>
  <si>
    <t>Otras Cuentas por pagar</t>
  </si>
  <si>
    <t>cambios pendientes en los anexos del sistema</t>
  </si>
  <si>
    <t>orden de las columnas</t>
  </si>
  <si>
    <t>separar el certificado del banco agricola de las inversion en accion</t>
  </si>
  <si>
    <t>cambiar inventario por almacen de suministros e inventario de suministros</t>
  </si>
  <si>
    <t>cambiar la numeración de las notas</t>
  </si>
  <si>
    <t>poner una columna para las notas</t>
  </si>
  <si>
    <t>crear nota del capital institucional</t>
  </si>
  <si>
    <t>cambiar contrato de construccion por avance a contratista</t>
  </si>
  <si>
    <t>cambiar nombre de las columnas mes actual mes anteriror variacion / acumulado mes actual acumulado mes anterior</t>
  </si>
  <si>
    <t>cambiar partidas por cobrar por cuentas por cobrar</t>
  </si>
  <si>
    <t>donde dice intereses por cobar banco agricola esta mal escrito</t>
  </si>
  <si>
    <t xml:space="preserve">total de activo por total total propieda planta y equipo neto </t>
  </si>
  <si>
    <t>cambiar cerificado banco agricola por deposito a plazos (banco agricola)</t>
  </si>
  <si>
    <t xml:space="preserve">buscar notas hecha en excel para referencia </t>
  </si>
  <si>
    <t xml:space="preserve">AVANCE 20% PARA INICIAR PROYECTO DE REESTRUCTURACION SISTEMA DE AGUA Y AMPLIACION CUARTO DE BMBA DEL FONPER. </t>
  </si>
  <si>
    <t>AVANCE 20% PARA SUMINISTRO E INSTALACION LONA ASFALTICA Y FINO D TECHO AL EDIFICIO KASSE ACTA</t>
  </si>
  <si>
    <t>AVANCE 20% P/REALIZAR TRABAJOS PROY.CONST.DEL COMEDOR, ALMACEN, GARITA, BAÑO D/SEGURIDAD, EDIF.  FONPER</t>
  </si>
  <si>
    <t>AMORTIZACIÓN AGO./2025</t>
  </si>
  <si>
    <t xml:space="preserve">CONTROL DE VACACIONES </t>
  </si>
  <si>
    <t xml:space="preserve">DÍAS 
PENDIENTES </t>
  </si>
  <si>
    <t>SALARIO</t>
  </si>
  <si>
    <t>SALARIO PROMEDIO</t>
  </si>
  <si>
    <t xml:space="preserve">Total a Disfrutar </t>
  </si>
  <si>
    <t>AIDA VICTORIA PARDILLA MARTINEZ</t>
  </si>
  <si>
    <t>ENCARGADA</t>
  </si>
  <si>
    <t>ADMINISTRADOR DE SERVICIOS TIC</t>
  </si>
  <si>
    <t>ANA ILDA NUÑEZ BATISTA</t>
  </si>
  <si>
    <t>ANALISTA DE GESTIÓN PATRIMONIAL II</t>
  </si>
  <si>
    <t>ANALISTA</t>
  </si>
  <si>
    <t>CARLOS JOSE RIVAS GARCIA</t>
  </si>
  <si>
    <t>CARLOS JULIO SUBERVI CARRASCO</t>
  </si>
  <si>
    <t>CARMEN JULIA PEREZ FERNANDEZ</t>
  </si>
  <si>
    <t>CONSERJE</t>
  </si>
  <si>
    <t>CLAUDIO ALBERTO MARTE MERCEDES</t>
  </si>
  <si>
    <t>DANIA RODRIGUEZ RODRIGUEZ</t>
  </si>
  <si>
    <t>DESIREE MARIN GARCIA</t>
  </si>
  <si>
    <t>COORDINADORA</t>
  </si>
  <si>
    <t>DIONICIO EMILIO GUERRERO PEREZ</t>
  </si>
  <si>
    <t>DOMINGO ALBERTO RODRIGUEZ</t>
  </si>
  <si>
    <t>CHOFER</t>
  </si>
  <si>
    <t>COORDINADOR</t>
  </si>
  <si>
    <t>AUXILIAR ADMINISTRATIVO</t>
  </si>
  <si>
    <t>EDWARD ALEXANDER AQUINO ALMONTE</t>
  </si>
  <si>
    <t>SOPORTE TECNICO</t>
  </si>
  <si>
    <t>ELIN ALBERTO PENA GERMAN</t>
  </si>
  <si>
    <t>ADMINISTRADOR DE OPERACIONES TIC</t>
  </si>
  <si>
    <t>ESKIBEL JAVIER SANCHEZ VIDAL</t>
  </si>
  <si>
    <t>EVANGELISTA EUGENIA PEREZ DE LOS SANTOS</t>
  </si>
  <si>
    <t>COORDINADOR (A) ADMINISTRATIVO</t>
  </si>
  <si>
    <t>FRANCIS GISELLE BUSSI INOA</t>
  </si>
  <si>
    <t>COORDINADOR (A) DE ARQUITECTURA</t>
  </si>
  <si>
    <t>FRANSER DESIREE SOLIS DE LUNA</t>
  </si>
  <si>
    <t>FREDDY JOSE PEREYRA  ALBERTO</t>
  </si>
  <si>
    <t>FREDDY RADHAMES RODRIGUEZ DIAZ</t>
  </si>
  <si>
    <t>TÉCNICO ADMINISTRATIVO</t>
  </si>
  <si>
    <t>ILEANA SOLANYI MEDINA PERALTA</t>
  </si>
  <si>
    <t>MENSAJERA INTERNA</t>
  </si>
  <si>
    <t>ISMAEL VALENTIN PENA SANTOS</t>
  </si>
  <si>
    <t>MENSAJERO EXTERNO</t>
  </si>
  <si>
    <t>ANALISTA INFORMÁTICO</t>
  </si>
  <si>
    <t>PRESIDENTE</t>
  </si>
  <si>
    <t>JOSE MANUEL VALDEZ</t>
  </si>
  <si>
    <t>SUPERVISOR DE TRANSPORTACIÓN</t>
  </si>
  <si>
    <t>VICE-PRESIDENTE</t>
  </si>
  <si>
    <t>RELACIONISTA PUBLICO</t>
  </si>
  <si>
    <t>LELIA MARCELL MENDOZA LORA</t>
  </si>
  <si>
    <t>LEON ALTAGRACIA GOMEZ DIAZ</t>
  </si>
  <si>
    <t>ASESOR</t>
  </si>
  <si>
    <t>LICET IVANA BELTRE VALERA</t>
  </si>
  <si>
    <t>LISBET RODRIGUEZ GUZMAN</t>
  </si>
  <si>
    <t>LUIS ALFREDO FUCHU ARTILES</t>
  </si>
  <si>
    <t>LUIS ANTONIO MOQUETE PELLETIER</t>
  </si>
  <si>
    <t>DIRECTORA</t>
  </si>
  <si>
    <t>MARTHA ARELYS BEATO ABREU</t>
  </si>
  <si>
    <t>MAYRUBI LAZARO VALENZUELA</t>
  </si>
  <si>
    <t>MARINO ACOSTA GUANTE</t>
  </si>
  <si>
    <t>MERCEDES IVELICES GUZMAN VALERIO</t>
  </si>
  <si>
    <t>MIGUEL ALFONSO DE LA ROSA  ARIAS</t>
  </si>
  <si>
    <t>NADIA ROSA MARIA BAEZ LOPEZ</t>
  </si>
  <si>
    <t>NATHALI ROCIO RIVERA ORTIZ</t>
  </si>
  <si>
    <t>RECEPCIONISTA</t>
  </si>
  <si>
    <t>NICOLLE HARVEY PICHARDO</t>
  </si>
  <si>
    <t>NIKAURY ARACENA MEJIA</t>
  </si>
  <si>
    <t>NYSA MARIA FERREIRA BALBI</t>
  </si>
  <si>
    <t>OLIVER SORIANO OVIEDO</t>
  </si>
  <si>
    <t>INGENIERO DE ESTRUCTURA</t>
  </si>
  <si>
    <t>OMAR DE JESUS COHEN SANDER</t>
  </si>
  <si>
    <t>OSVALDO PEREZ PIMENTEL</t>
  </si>
  <si>
    <t>PEDRO DANIEL ESQUEA MONTILLA</t>
  </si>
  <si>
    <t>RAFAEL EDUARDO RAMIREZ ISIDOR</t>
  </si>
  <si>
    <t>RICHARD RAMON MEJIA MENDOZA</t>
  </si>
  <si>
    <t>AUXILIAR DE SUMINISTRO</t>
  </si>
  <si>
    <t>ROSSY LISVERY VOLQUEZ PEREZ</t>
  </si>
  <si>
    <t>RUBEN DARIO ALMONTE MATEO</t>
  </si>
  <si>
    <t>SALVADOR YGNACIO RICOURT GOMEZ</t>
  </si>
  <si>
    <t>DIRECTOR</t>
  </si>
  <si>
    <t>SAMUEL JUNIOR ULLOA MARIANO</t>
  </si>
  <si>
    <t>SARITA MARTINEZ FROMETA</t>
  </si>
  <si>
    <t>SHANTAL MARIEL BAUTISTA PERREAUX</t>
  </si>
  <si>
    <t>COORDINADOR (A) DE INGENIERIA</t>
  </si>
  <si>
    <t>SOMNE ALTAGRACIA BAEZ TRINIDAD</t>
  </si>
  <si>
    <t>TOMAS AUGUSTO MENDOZA TORRES</t>
  </si>
  <si>
    <t>ABOGADO III</t>
  </si>
  <si>
    <t>VERONICA POLANCO REYNOSO</t>
  </si>
  <si>
    <t>WINSTON POLANCO ROBLES</t>
  </si>
  <si>
    <t>YANCARLOS HERNANDEZ ENCARNACION</t>
  </si>
  <si>
    <t>YANIL STEFANY MEJIA PIMENTEL</t>
  </si>
  <si>
    <t>AMORTIZACIÓN AGO/2024</t>
  </si>
  <si>
    <t>Diciembre (ajuste)</t>
  </si>
  <si>
    <t>COMPAÑÍA DOMINICANA DE TELEFONOS</t>
  </si>
  <si>
    <t>PLANTA FISICA PINERA SRL</t>
  </si>
  <si>
    <t>FACT NO.  5631. CK 39845</t>
  </si>
  <si>
    <t>Año 2025</t>
  </si>
  <si>
    <t>COLABORADORES AÑO 2025</t>
  </si>
  <si>
    <t>NOMBRE/APELLIDO</t>
  </si>
  <si>
    <t>Dias 2025</t>
  </si>
  <si>
    <t>Diciembre</t>
  </si>
  <si>
    <t>Dias pendiente a disfrutar 2025</t>
  </si>
  <si>
    <t>Ajuste pendiente</t>
  </si>
  <si>
    <t>Cada mes, en el 2025 será de</t>
  </si>
  <si>
    <t>Bonos a las secretarias</t>
  </si>
  <si>
    <t>Madres</t>
  </si>
  <si>
    <t>Padres</t>
  </si>
  <si>
    <t>Bono Navidad Fijos  (3.0)</t>
  </si>
  <si>
    <t>Bono Navidad Consejo  (3.0)</t>
  </si>
  <si>
    <t>Bono navidad militares (3)</t>
  </si>
  <si>
    <t>EDDY DOMINGUEZ</t>
  </si>
  <si>
    <t>REFRIASU LOGÍSTIC AND CONSTRUCTION, SRL</t>
  </si>
  <si>
    <t>BR - 9607919039</t>
  </si>
  <si>
    <t>Grupo 0008- Donaciones</t>
  </si>
  <si>
    <t>Material gastable</t>
  </si>
  <si>
    <t>Cuenta 1205</t>
  </si>
  <si>
    <t>VIÁTICOS VIAJES A LA TABACALERA, S. A.</t>
  </si>
  <si>
    <t>Total de Licencias</t>
  </si>
  <si>
    <t>Licencias:</t>
  </si>
  <si>
    <t>COMPENSACION COMBUSTIBLE POR PAGAR</t>
  </si>
  <si>
    <t xml:space="preserve">Monto </t>
  </si>
  <si>
    <t>MEM-DERS - Ene - Dic 2025</t>
  </si>
  <si>
    <t>EGE PUNTA CATALINA</t>
  </si>
  <si>
    <t>CERTIFICADOS FINANCIEROS EN BANCO DE RESERVAS</t>
  </si>
  <si>
    <t>CERTIFICADOS FINANCIEROS EN BANCO DE RESERVAS DÓLARES A LA PAR</t>
  </si>
  <si>
    <t>CERTIFICADOS FINANCIEROS EN BANCO DE RESERVAS DÓLARES PRIMA</t>
  </si>
  <si>
    <t>PARTICIPACIÓN EN PUNTA CATALINA, NETO</t>
  </si>
  <si>
    <t>PARTICIPACIÓN EN EMPRESA DE GENERACIÓN ELÉCTRICA PUNTA CATALINA</t>
  </si>
  <si>
    <t>PARTICIPACIÓN EN OFICINA METROPOLITANA SERVICIOS DE AUTOBUSES (OMSA)</t>
  </si>
  <si>
    <t>PARTICIPACIÓN EN OMSA, NETO</t>
  </si>
  <si>
    <t>CUENTAS POR PAGAR COMBUSTIBLE</t>
  </si>
  <si>
    <t>CONTRIBUCIÓN A LA SEGURIDAD SOCIAL POR PAGAR</t>
  </si>
  <si>
    <t>RETENCIÓN IMPUESTO S/RENTA EMPLEADOS</t>
  </si>
  <si>
    <t>RETENCIÓN IMPUESTO S/RENTA PROVEEDORES</t>
  </si>
  <si>
    <t>INGRESO POR PARTICIPACIÓN EMPRESA PUNTA CATALINA</t>
  </si>
  <si>
    <t>Total pasivos corrientes</t>
  </si>
  <si>
    <t>EMPRESA DE GENERACIÓN ELÉCTRICA PUNTA CATALINA</t>
  </si>
  <si>
    <t>OFICINA METROPOLITANA DE SERVICIOS DE AUTOBUSES (OMSA)</t>
  </si>
  <si>
    <t>Mes</t>
  </si>
  <si>
    <t>Acumulado RD$</t>
  </si>
  <si>
    <t>Bono Escolar</t>
  </si>
  <si>
    <t>DESDE EL 1 MARZO 2025 HASTA EL 28 FEBRERO 2026</t>
  </si>
  <si>
    <t>LICENCIAS ADOBE</t>
  </si>
  <si>
    <t>Licencias de Software ADOBE</t>
  </si>
  <si>
    <t>DOMINET, SRL</t>
  </si>
  <si>
    <t>FACT # 00446</t>
  </si>
  <si>
    <t>MARZO - DICIEMBRE 2025</t>
  </si>
  <si>
    <t>10 MESES</t>
  </si>
  <si>
    <t>ENERO   -  FEBRERO 2026</t>
  </si>
  <si>
    <t>AMORTIZACIÓN MARZ/2025</t>
  </si>
  <si>
    <t>AMORTIZACIÓN ABR/2025</t>
  </si>
  <si>
    <t>AMORTIZACIÓN MAY/2025</t>
  </si>
  <si>
    <t>AMORTIZACIÓN JUN/2025</t>
  </si>
  <si>
    <t>AMORTIZACIÓN JUL/2025</t>
  </si>
  <si>
    <t>AMORTIZACIÓN AGO/2025</t>
  </si>
  <si>
    <t>AMORTIZACIÓN SEPT/2025</t>
  </si>
  <si>
    <t>AMORTIZACIÓN OCT/2025</t>
  </si>
  <si>
    <t>AMORTIZACIÓN NOV/2025</t>
  </si>
  <si>
    <t>AMORTIZACIÓN DIC/2025</t>
  </si>
  <si>
    <t>AMORTIZACIÓN ENE/2026</t>
  </si>
  <si>
    <t>AMORTIZACIÓN FEB/2026</t>
  </si>
  <si>
    <t>Marz-2025</t>
  </si>
  <si>
    <t>CK. NO.</t>
  </si>
  <si>
    <t>Otros</t>
  </si>
  <si>
    <t>SILVIO JOSE PEREZ</t>
  </si>
  <si>
    <t>ALCE ODELL CACERES LEREBOURS</t>
  </si>
  <si>
    <t>ALEXANDER RAMIREZ SANTOS</t>
  </si>
  <si>
    <t>ANASTASIA ROSAURA  A AVILA UBRI</t>
  </si>
  <si>
    <t>CELIA MASSIEL CUEVAS JIMENEZ</t>
  </si>
  <si>
    <t>DIANA JOSEFINA ROSARIO POLANCO</t>
  </si>
  <si>
    <t>EDDY MIGUEL DOMINGUEZ LINARES</t>
  </si>
  <si>
    <t>EDGAR MOISES DUME PEPEN</t>
  </si>
  <si>
    <t>EDILI DAYELIS RAMIREZ RODRIGUEZ</t>
  </si>
  <si>
    <t>EDWIN JOHANNY JIMENEZ MARTINEZ</t>
  </si>
  <si>
    <t>FRANCISCA SANCHEZ DE SANCHEZ</t>
  </si>
  <si>
    <t>FREILYN LIZETH PEREZ DIAZ</t>
  </si>
  <si>
    <t>GERMAINE DANIELLE GAZON ROSARIO</t>
  </si>
  <si>
    <t>JESUS OMAR SANCHEZ TRINIDAD</t>
  </si>
  <si>
    <t>JORGE LUIS MATEO CASTILLO</t>
  </si>
  <si>
    <t>JOSE ANTONIO ALMONTE MARTE</t>
  </si>
  <si>
    <t>JOSE EURIPIDES FLORENTINO RODRIGUEZ</t>
  </si>
  <si>
    <t>JOSEFINA MERCEDES VEGA DE MONTES</t>
  </si>
  <si>
    <t>JUAN SANTANA HERNANDEZ</t>
  </si>
  <si>
    <t>LADY MARGARET ESPINAL ROMERO</t>
  </si>
  <si>
    <t>LEWIS ANTONIO MEDRANO MORLA</t>
  </si>
  <si>
    <t>TÉCNICO DE SERVICIOS GENERALES</t>
  </si>
  <si>
    <t>MARGARET RAMIREZ BAEZ</t>
  </si>
  <si>
    <t>MARLENY ALTAGRACIA MEDRANO RODRIGUEZ</t>
  </si>
  <si>
    <t>MASSIEL MEJIA GONZALEZ</t>
  </si>
  <si>
    <t>MAXIMO AUGUSTO PERALTA MOREL</t>
  </si>
  <si>
    <t>MILAGROS NAZARET PEREZ ROMERO</t>
  </si>
  <si>
    <t>ABOGADO II</t>
  </si>
  <si>
    <t>NIVIA CLARIBEL QUEZADA FELIZ DE PEÑA</t>
  </si>
  <si>
    <t>TÉCNICO DE RECURSOS HUMANOS</t>
  </si>
  <si>
    <t>ODALIS MARTE RODRIGUEZ</t>
  </si>
  <si>
    <t>ROSA ANTONIA PEREZ HEREDIA</t>
  </si>
  <si>
    <t>RUDDY LANI GARCIA ALCANTARA</t>
  </si>
  <si>
    <t>SILVIO JOSE PEREZ VALDEZ</t>
  </si>
  <si>
    <t>WILKIN BERNAN MATEO MATEO</t>
  </si>
  <si>
    <t>LAVADOR VEHICULOS</t>
  </si>
  <si>
    <t>Retenciones pendientes</t>
  </si>
  <si>
    <t>Contribución a la Seguridad Social por pagar</t>
  </si>
  <si>
    <t>OC #6654, FACT NO. 01-001176</t>
  </si>
  <si>
    <t>ABRIL  -   DICIEMBRE 2025</t>
  </si>
  <si>
    <t>ENERO   -   MARZO 2026</t>
  </si>
  <si>
    <t>X  9  =</t>
  </si>
  <si>
    <t>X  3  =</t>
  </si>
  <si>
    <t>3  MESES</t>
  </si>
  <si>
    <t>9  MESES</t>
  </si>
  <si>
    <t>AMORTIZACIÓN SEP./2025</t>
  </si>
  <si>
    <t>AMORTIZACIÓN OCT./2025</t>
  </si>
  <si>
    <t>AMORTIZACIÓN NOV./2025</t>
  </si>
  <si>
    <t>AMORTIZACIÓN DIC./2025</t>
  </si>
  <si>
    <t>AMORTIZACIÓN ENE./2026</t>
  </si>
  <si>
    <t>AMORTIZACIÓN FEB./2026</t>
  </si>
  <si>
    <t>AMORTIZACIÓN MAR/2026</t>
  </si>
  <si>
    <t>DESDE EL 11 DE ABRIL 2025 HASTA EL 31 MARZO 2026</t>
  </si>
  <si>
    <t>LICENCIA ALDABA Y LINKEDIN</t>
  </si>
  <si>
    <t>WST SOLUTIOS, SRL</t>
  </si>
  <si>
    <t>Licencia Aldaba y Linkedin</t>
  </si>
  <si>
    <t>ISMAEL PEÑA</t>
  </si>
  <si>
    <t>NC-29835</t>
  </si>
  <si>
    <t>CK 40056</t>
  </si>
  <si>
    <t>CK 40055</t>
  </si>
  <si>
    <t>TOTAL EDENORTE</t>
  </si>
  <si>
    <t>MIGUEL A. TRINIDAD</t>
  </si>
  <si>
    <t>SANTIAGO AYBAR CAMPOS</t>
  </si>
  <si>
    <t>WINSTON POLANCO R.</t>
  </si>
  <si>
    <t>HENRY MORENO BREA</t>
  </si>
  <si>
    <t>JOHENNY MAÑON</t>
  </si>
  <si>
    <t>CUENTAS POR PAGAR POR RETENCIONES</t>
  </si>
  <si>
    <t>INVERSIONES FINANCIERAS A CORTO PLAZO:</t>
  </si>
  <si>
    <t>Mayo 2025</t>
  </si>
  <si>
    <t>LABOQUIDOM</t>
  </si>
  <si>
    <t>Ck 40063 y ND 4899</t>
  </si>
  <si>
    <t>AUTOCAMIONES, S. A.</t>
  </si>
  <si>
    <t>Retención impuesto sobre la renta empleados (mayo)</t>
  </si>
  <si>
    <t>INCENTIVO PARA GASTOS FUNEBRES</t>
  </si>
  <si>
    <t>AL 30 DE JUNIO DEL 2025</t>
  </si>
  <si>
    <t>AL 310 DE JUNIO DEL 2025</t>
  </si>
  <si>
    <t xml:space="preserve">Contabilidad </t>
  </si>
  <si>
    <t>Diferencia</t>
  </si>
  <si>
    <t>Considerado en junio 25</t>
  </si>
  <si>
    <t>CARLOS RIVAS</t>
  </si>
  <si>
    <t xml:space="preserve">    /  12  =</t>
  </si>
  <si>
    <t>ENC. CORRESPONDENCIA Y ARCH</t>
  </si>
  <si>
    <t>COORDINADOR GESTION PATRIMONIAL</t>
  </si>
  <si>
    <t>EDEESTE (Inversiones en proceso)</t>
  </si>
  <si>
    <t>EDITORA HOY, SAS</t>
  </si>
  <si>
    <t>INSTITUTO DE AUDITRES INTERNOS</t>
  </si>
  <si>
    <t>RAFAEL CACERES RODRIGUEZ</t>
  </si>
  <si>
    <t>ICU SOLUCIONES EMPRESARIALES</t>
  </si>
  <si>
    <t>CENTRO AUTOMOTRIZ REMESA</t>
  </si>
  <si>
    <t>ITCOR GONGLOSS, SRL</t>
  </si>
  <si>
    <t>KHALICCO INVESTMENTS, SRL</t>
  </si>
  <si>
    <t>RC TECHNOLOGY, SRL</t>
  </si>
  <si>
    <t>EXPERT CLEANER SQE, SRL</t>
  </si>
  <si>
    <t>MRO MANTENIMIENTO OPERACIONAL</t>
  </si>
  <si>
    <t>DISTRIBUIDORES INT. DE PETROLEO</t>
  </si>
  <si>
    <t>ELILOLEA FOOD SERVICES, SRL</t>
  </si>
  <si>
    <t>DIFO ELECTRICA, SRL</t>
  </si>
  <si>
    <t>EL PALACIO DE LA TRANSMISION</t>
  </si>
  <si>
    <t>LUIS MOQUETE</t>
  </si>
  <si>
    <t>LELIA MENDOZA</t>
  </si>
  <si>
    <t>SALVADOR RICOURT</t>
  </si>
  <si>
    <t>EDWARD AQUINO</t>
  </si>
  <si>
    <t>LEWIS MEDRANO</t>
  </si>
  <si>
    <t>JORGE MATEO CASTILLO</t>
  </si>
  <si>
    <t>JOSE E. FLORENTINO</t>
  </si>
  <si>
    <t>MARINO ACOSTA</t>
  </si>
  <si>
    <t>PEDRO ESQUEA</t>
  </si>
  <si>
    <t>RUBEN ALMONTE</t>
  </si>
  <si>
    <t>JOSEFINA M. VEGA</t>
  </si>
  <si>
    <t>WILKIN MATEO</t>
  </si>
  <si>
    <t>NATHALI RIVERA</t>
  </si>
  <si>
    <t>RUDDY GARCIA</t>
  </si>
  <si>
    <t>COLECTOR DE IMPUESTOS INTERNOS</t>
  </si>
  <si>
    <t>TESORERIA DE SEGURIDAD SOCIAL</t>
  </si>
  <si>
    <t>Compensación horas extras junio 2025</t>
  </si>
  <si>
    <t>Compensación almuerzo a militares junio 2025</t>
  </si>
  <si>
    <t>Compensación almuerzo a empleados fijos junio 2025</t>
  </si>
  <si>
    <t>Compensación almuerzo militares seguridad 2da quincena junio 2025</t>
  </si>
  <si>
    <t xml:space="preserve">CUENTAS POR PAGAR HONORARIOS CONTRATADOS </t>
  </si>
  <si>
    <t>INGENIERIA M. GONZALEZ &amp; POLANCO, SRL</t>
  </si>
  <si>
    <t>Junio 2025</t>
  </si>
  <si>
    <r>
      <t xml:space="preserve">CONSTRUCCION LOTE #14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</si>
  <si>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#10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</si>
  <si>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#12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</si>
  <si>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SUPLIDOR DE SERVICIO: </t>
    </r>
    <r>
      <rPr>
        <b/>
        <sz val="12"/>
        <rFont val="Arial"/>
        <family val="2"/>
      </rPr>
      <t>QUANTUM</t>
    </r>
  </si>
  <si>
    <r>
      <t xml:space="preserve">ASEGURADORA: </t>
    </r>
    <r>
      <rPr>
        <b/>
        <sz val="12"/>
        <rFont val="Arial"/>
        <family val="2"/>
      </rPr>
      <t>SEGUROS BANRESERVAS</t>
    </r>
  </si>
  <si>
    <r>
      <t xml:space="preserve">SUPLIDOR DE SERVICIO: </t>
    </r>
    <r>
      <rPr>
        <b/>
        <sz val="12"/>
        <rFont val="Arial"/>
        <family val="2"/>
      </rPr>
      <t>WST SOLUTION</t>
    </r>
  </si>
  <si>
    <r>
      <t xml:space="preserve">SUPLIDOR DE SERVICIO: </t>
    </r>
    <r>
      <rPr>
        <b/>
        <sz val="12"/>
        <rFont val="Arial"/>
        <family val="2"/>
      </rPr>
      <t>NEVER OFF TECHNOLOGY</t>
    </r>
  </si>
  <si>
    <r>
      <t xml:space="preserve">SUPLIDOR DE SERVICIO: </t>
    </r>
    <r>
      <rPr>
        <b/>
        <sz val="12"/>
        <rFont val="Arial"/>
        <family val="2"/>
      </rPr>
      <t>HISPANIOLA TECHNOLOGY</t>
    </r>
  </si>
  <si>
    <t>-------------------------------------------------------------------------------------------------------------------------------------------</t>
  </si>
  <si>
    <t>------------------------------------------------------------------------------------------------------------------------------</t>
  </si>
  <si>
    <t>PROCITROM, SRL</t>
  </si>
  <si>
    <t>FACT NO. 2025-012</t>
  </si>
  <si>
    <t>ALDABA Y LINKEDIN</t>
  </si>
  <si>
    <t>Total Provisión RD$</t>
  </si>
  <si>
    <t>PRIMA DE TRANSPORTE</t>
  </si>
  <si>
    <t>SERVICIOS DE LAVANDERÍA</t>
  </si>
  <si>
    <t>TRANSFERENCIA A OTRAS INSTITUCIONES PÚBLICAS</t>
  </si>
  <si>
    <t>BECAS Y VIAJES DE ESTUDIO</t>
  </si>
  <si>
    <r>
      <t xml:space="preserve">SUPLIDOR DE SERVICIO: </t>
    </r>
    <r>
      <rPr>
        <b/>
        <sz val="12"/>
        <rFont val="Arial"/>
        <family val="2"/>
      </rPr>
      <t>DOMINET, SRL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</si>
</sst>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-* #,##0.00_R_D_$_-;\-* #,##0.00_R_D_$_-;_-* &quot;-&quot;??_R_D_$_-;_-@_-"/>
    <numFmt numFmtId="166" formatCode="mmmm\ \-\ yyyy"/>
    <numFmt numFmtId="167" formatCode="_-* #,##0.00\ _P_t_s_-;\-* #,##0.00\ _P_t_s_-;_-* &quot;-&quot;??\ _P_t_s_-;_-@_-"/>
    <numFmt numFmtId="168" formatCode="_(* #,##0_);_(* \(#,##0\);_(* &quot;-&quot;??_);_(@_)"/>
    <numFmt numFmtId="169" formatCode="0.000000000"/>
    <numFmt numFmtId="170" formatCode="0.0000000000"/>
    <numFmt numFmtId="171" formatCode="0000\-00\-00"/>
    <numFmt numFmtId="172" formatCode="[$-409]d\-mmm\-yy;@"/>
    <numFmt numFmtId="173" formatCode="[$-409]dd\-mmm\-yy;@"/>
    <numFmt numFmtId="174" formatCode="_(* #,##0.000000_);_(* \(#,##0.000000\);_(* &quot;-&quot;??_);_(@_)"/>
    <numFmt numFmtId="175" formatCode="_(* #,##0.000000000_);_(* \(#,##0.000000000\);_(* &quot;-&quot;??_);_(@_)"/>
  </numFmts>
  <fonts count="1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sz val="14"/>
      <color rgb="FFFF0000"/>
      <name val="Arial"/>
      <family val="2"/>
    </font>
    <font>
      <b/>
      <sz val="14"/>
      <color theme="4" tint="-0.249977111117893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12"/>
      <color theme="2" tint="-0.499984740745262"/>
      <name val="Arial"/>
      <family val="2"/>
    </font>
    <font>
      <b/>
      <sz val="8"/>
      <name val="Arial"/>
      <family val="2"/>
    </font>
    <font>
      <b/>
      <u val="doubleAccounting"/>
      <sz val="12"/>
      <name val="Arial"/>
      <family val="2"/>
    </font>
    <font>
      <u val="singleAccounting"/>
      <sz val="12"/>
      <name val="Arial"/>
      <family val="2"/>
    </font>
    <font>
      <i/>
      <sz val="9"/>
      <color rgb="FFFF0000"/>
      <name val="Arial"/>
      <family val="2"/>
    </font>
    <font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b/>
      <sz val="12"/>
      <color indexed="17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u/>
      <sz val="12"/>
      <color theme="1"/>
      <name val="Arial"/>
      <family val="2"/>
    </font>
    <font>
      <b/>
      <u val="double"/>
      <sz val="12"/>
      <name val="Arial"/>
      <family val="2"/>
    </font>
    <font>
      <u val="doubleAccounting"/>
      <sz val="12"/>
      <color theme="1"/>
      <name val="Arial"/>
      <family val="2"/>
    </font>
    <font>
      <b/>
      <sz val="14"/>
      <color rgb="FFFF0000"/>
      <name val="Arial"/>
      <family val="2"/>
    </font>
    <font>
      <b/>
      <u val="singleAccounting"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EE0000"/>
      <name val="Arial"/>
      <family val="2"/>
    </font>
    <font>
      <u val="singleAccounting"/>
      <sz val="12"/>
      <color rgb="FFFF0000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Arial"/>
      <family val="2"/>
    </font>
    <font>
      <b/>
      <u/>
      <sz val="12"/>
      <name val="Arial"/>
      <family val="2"/>
    </font>
    <font>
      <i/>
      <u/>
      <sz val="12"/>
      <color rgb="FFFF0000"/>
      <name val="Arial"/>
      <family val="2"/>
    </font>
    <font>
      <u val="singleAccounting"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 val="singleAccounting"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0070C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000000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83">
    <xf numFmtId="0" fontId="0" fillId="0" borderId="0"/>
    <xf numFmtId="43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71" fontId="61" fillId="0" borderId="0" applyFont="0" applyFill="0" applyBorder="0" applyAlignment="0" applyProtection="0"/>
    <xf numFmtId="165" fontId="65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6" fillId="2" borderId="0" applyNumberFormat="0" applyBorder="0" applyAlignment="0" applyProtection="0"/>
    <xf numFmtId="0" fontId="66" fillId="2" borderId="0" applyNumberFormat="0" applyBorder="0" applyAlignment="0" applyProtection="0"/>
    <xf numFmtId="0" fontId="66" fillId="2" borderId="0" applyNumberFormat="0" applyBorder="0" applyAlignment="0" applyProtection="0"/>
    <xf numFmtId="0" fontId="66" fillId="2" borderId="0" applyNumberFormat="0" applyBorder="0" applyAlignment="0" applyProtection="0"/>
    <xf numFmtId="0" fontId="6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4" fillId="0" borderId="0"/>
    <xf numFmtId="0" fontId="61" fillId="0" borderId="0"/>
    <xf numFmtId="0" fontId="63" fillId="3" borderId="31" applyNumberFormat="0" applyFont="0" applyAlignment="0" applyProtection="0"/>
    <xf numFmtId="0" fontId="65" fillId="3" borderId="31" applyNumberFormat="0" applyFont="0" applyAlignment="0" applyProtection="0"/>
    <xf numFmtId="9" fontId="6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0" fillId="0" borderId="0"/>
    <xf numFmtId="43" fontId="60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0" fontId="56" fillId="0" borderId="0"/>
    <xf numFmtId="9" fontId="69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43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0" fontId="66" fillId="2" borderId="0" applyNumberFormat="0" applyBorder="0" applyAlignment="0" applyProtection="0"/>
    <xf numFmtId="0" fontId="55" fillId="0" borderId="0"/>
    <xf numFmtId="0" fontId="55" fillId="3" borderId="31" applyNumberFormat="0" applyFont="0" applyAlignment="0" applyProtection="0"/>
    <xf numFmtId="9" fontId="5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9" fontId="61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0" fontId="71" fillId="0" borderId="0" applyNumberFormat="0" applyFill="0" applyBorder="0" applyAlignment="0" applyProtection="0"/>
    <xf numFmtId="0" fontId="49" fillId="0" borderId="0"/>
    <xf numFmtId="0" fontId="48" fillId="0" borderId="0"/>
    <xf numFmtId="0" fontId="47" fillId="0" borderId="0"/>
    <xf numFmtId="43" fontId="47" fillId="0" borderId="0" applyFont="0" applyFill="0" applyBorder="0" applyAlignment="0" applyProtection="0"/>
    <xf numFmtId="0" fontId="46" fillId="0" borderId="0"/>
    <xf numFmtId="0" fontId="45" fillId="0" borderId="0"/>
    <xf numFmtId="0" fontId="44" fillId="0" borderId="0"/>
    <xf numFmtId="0" fontId="43" fillId="0" borderId="0"/>
    <xf numFmtId="43" fontId="43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40" fillId="0" borderId="0"/>
    <xf numFmtId="0" fontId="39" fillId="0" borderId="0"/>
    <xf numFmtId="0" fontId="38" fillId="0" borderId="0"/>
    <xf numFmtId="0" fontId="37" fillId="0" borderId="0"/>
    <xf numFmtId="43" fontId="37" fillId="0" borderId="0" applyFont="0" applyFill="0" applyBorder="0" applyAlignment="0" applyProtection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3" fillId="0" borderId="0"/>
    <xf numFmtId="0" fontId="32" fillId="0" borderId="0"/>
    <xf numFmtId="43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2" fillId="0" borderId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18" fillId="0" borderId="0"/>
    <xf numFmtId="0" fontId="61" fillId="0" borderId="0"/>
    <xf numFmtId="43" fontId="6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66" fillId="2" borderId="0" applyNumberFormat="0" applyBorder="0" applyAlignment="0" applyProtection="0"/>
    <xf numFmtId="0" fontId="18" fillId="0" borderId="0"/>
    <xf numFmtId="0" fontId="18" fillId="3" borderId="31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9" fontId="6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0" fontId="18" fillId="3" borderId="31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7" fillId="3" borderId="31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/>
    <xf numFmtId="0" fontId="16" fillId="3" borderId="31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3" borderId="3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3" borderId="3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3" borderId="3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3" borderId="3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3" borderId="3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3" borderId="3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3" borderId="3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3" borderId="3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9">
    <xf numFmtId="0" fontId="0" fillId="0" borderId="0" xfId="0"/>
    <xf numFmtId="0" fontId="61" fillId="0" borderId="0" xfId="0" applyFont="1"/>
    <xf numFmtId="4" fontId="73" fillId="0" borderId="0" xfId="238" applyNumberFormat="1" applyFont="1"/>
    <xf numFmtId="4" fontId="73" fillId="0" borderId="2" xfId="238" applyNumberFormat="1" applyFont="1" applyBorder="1"/>
    <xf numFmtId="0" fontId="74" fillId="0" borderId="0" xfId="0" applyFont="1"/>
    <xf numFmtId="0" fontId="74" fillId="0" borderId="0" xfId="0" applyFont="1" applyAlignment="1">
      <alignment horizontal="center"/>
    </xf>
    <xf numFmtId="43" fontId="74" fillId="0" borderId="0" xfId="4" applyFont="1" applyFill="1"/>
    <xf numFmtId="0" fontId="75" fillId="0" borderId="0" xfId="0" applyFont="1"/>
    <xf numFmtId="0" fontId="76" fillId="0" borderId="0" xfId="0" applyFont="1" applyAlignment="1">
      <alignment horizontal="center"/>
    </xf>
    <xf numFmtId="43" fontId="76" fillId="0" borderId="0" xfId="4" applyFont="1" applyFill="1"/>
    <xf numFmtId="0" fontId="76" fillId="0" borderId="0" xfId="0" applyFont="1"/>
    <xf numFmtId="43" fontId="75" fillId="0" borderId="13" xfId="4" applyFont="1" applyFill="1" applyBorder="1" applyAlignment="1">
      <alignment horizontal="center" vertical="center" wrapText="1"/>
    </xf>
    <xf numFmtId="0" fontId="77" fillId="0" borderId="0" xfId="18" applyFont="1" applyAlignment="1">
      <alignment horizontal="center"/>
    </xf>
    <xf numFmtId="43" fontId="73" fillId="0" borderId="0" xfId="4" applyFont="1" applyFill="1"/>
    <xf numFmtId="0" fontId="78" fillId="0" borderId="0" xfId="0" applyFont="1" applyAlignment="1">
      <alignment vertical="center"/>
    </xf>
    <xf numFmtId="0" fontId="77" fillId="0" borderId="0" xfId="18" applyFont="1" applyAlignment="1">
      <alignment horizontal="center" vertical="center"/>
    </xf>
    <xf numFmtId="43" fontId="74" fillId="0" borderId="0" xfId="4" applyFont="1" applyFill="1" applyAlignment="1">
      <alignment vertical="center"/>
    </xf>
    <xf numFmtId="43" fontId="73" fillId="0" borderId="0" xfId="4" applyFont="1" applyFill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wrapText="1"/>
    </xf>
    <xf numFmtId="0" fontId="74" fillId="0" borderId="0" xfId="0" quotePrefix="1" applyFont="1" applyAlignment="1">
      <alignment horizontal="left"/>
    </xf>
    <xf numFmtId="0" fontId="78" fillId="0" borderId="0" xfId="0" applyFont="1" applyAlignment="1">
      <alignment horizontal="left" vertical="center" wrapText="1"/>
    </xf>
    <xf numFmtId="43" fontId="78" fillId="0" borderId="0" xfId="4" applyFont="1" applyFill="1" applyAlignment="1">
      <alignment vertical="center"/>
    </xf>
    <xf numFmtId="43" fontId="77" fillId="0" borderId="0" xfId="4" applyFont="1" applyFill="1" applyAlignment="1">
      <alignment vertical="center"/>
    </xf>
    <xf numFmtId="43" fontId="79" fillId="0" borderId="0" xfId="4" applyFont="1" applyFill="1"/>
    <xf numFmtId="43" fontId="74" fillId="0" borderId="0" xfId="0" applyNumberFormat="1" applyFont="1"/>
    <xf numFmtId="43" fontId="79" fillId="0" borderId="0" xfId="259" applyFont="1" applyAlignment="1">
      <alignment horizontal="right"/>
    </xf>
    <xf numFmtId="43" fontId="77" fillId="0" borderId="0" xfId="18" applyNumberFormat="1" applyFont="1" applyAlignment="1">
      <alignment horizontal="center"/>
    </xf>
    <xf numFmtId="43" fontId="80" fillId="0" borderId="0" xfId="225" applyFont="1" applyFill="1" applyBorder="1"/>
    <xf numFmtId="43" fontId="81" fillId="0" borderId="0" xfId="4" applyFont="1" applyFill="1"/>
    <xf numFmtId="0" fontId="73" fillId="0" borderId="0" xfId="0" applyFont="1"/>
    <xf numFmtId="43" fontId="73" fillId="0" borderId="0" xfId="6" applyFont="1" applyFill="1"/>
    <xf numFmtId="4" fontId="74" fillId="0" borderId="0" xfId="0" applyNumberFormat="1" applyFont="1"/>
    <xf numFmtId="43" fontId="74" fillId="0" borderId="0" xfId="4" applyFont="1" applyFill="1" applyBorder="1"/>
    <xf numFmtId="0" fontId="82" fillId="0" borderId="0" xfId="0" applyFont="1" applyAlignment="1">
      <alignment horizontal="center"/>
    </xf>
    <xf numFmtId="0" fontId="78" fillId="0" borderId="0" xfId="0" applyFont="1" applyAlignment="1">
      <alignment horizontal="center"/>
    </xf>
    <xf numFmtId="43" fontId="74" fillId="0" borderId="0" xfId="4" applyFont="1"/>
    <xf numFmtId="0" fontId="81" fillId="0" borderId="0" xfId="0" applyFont="1"/>
    <xf numFmtId="0" fontId="75" fillId="0" borderId="0" xfId="0" applyFont="1" applyAlignment="1">
      <alignment horizontal="center"/>
    </xf>
    <xf numFmtId="0" fontId="83" fillId="0" borderId="0" xfId="0" applyFont="1"/>
    <xf numFmtId="14" fontId="76" fillId="0" borderId="0" xfId="0" applyNumberFormat="1" applyFont="1"/>
    <xf numFmtId="166" fontId="76" fillId="0" borderId="0" xfId="0" applyNumberFormat="1" applyFont="1" applyAlignment="1" applyProtection="1">
      <alignment horizontal="center"/>
      <protection locked="0"/>
    </xf>
    <xf numFmtId="166" fontId="76" fillId="0" borderId="0" xfId="0" applyNumberFormat="1" applyFont="1" applyAlignment="1">
      <alignment horizontal="center"/>
    </xf>
    <xf numFmtId="43" fontId="76" fillId="0" borderId="0" xfId="4" applyFont="1"/>
    <xf numFmtId="0" fontId="76" fillId="0" borderId="0" xfId="0" applyFont="1" applyAlignment="1">
      <alignment vertical="center"/>
    </xf>
    <xf numFmtId="43" fontId="75" fillId="0" borderId="13" xfId="4" applyFont="1" applyBorder="1" applyAlignment="1">
      <alignment horizontal="center" vertical="center" wrapText="1"/>
    </xf>
    <xf numFmtId="43" fontId="76" fillId="0" borderId="0" xfId="4" applyFont="1" applyAlignment="1">
      <alignment vertical="center"/>
    </xf>
    <xf numFmtId="0" fontId="78" fillId="0" borderId="0" xfId="0" applyFont="1"/>
    <xf numFmtId="43" fontId="74" fillId="0" borderId="0" xfId="4" applyFont="1" applyAlignment="1"/>
    <xf numFmtId="0" fontId="85" fillId="0" borderId="0" xfId="0" applyFont="1"/>
    <xf numFmtId="43" fontId="74" fillId="0" borderId="0" xfId="4" applyFont="1" applyAlignment="1">
      <alignment horizontal="right"/>
    </xf>
    <xf numFmtId="43" fontId="81" fillId="0" borderId="0" xfId="4" applyFont="1"/>
    <xf numFmtId="43" fontId="74" fillId="0" borderId="0" xfId="35" applyFont="1" applyAlignment="1">
      <alignment horizontal="right"/>
    </xf>
    <xf numFmtId="43" fontId="78" fillId="0" borderId="3" xfId="4" applyFont="1" applyBorder="1" applyAlignment="1">
      <alignment horizontal="right"/>
    </xf>
    <xf numFmtId="43" fontId="74" fillId="0" borderId="0" xfId="4" applyFont="1" applyFill="1" applyAlignment="1"/>
    <xf numFmtId="43" fontId="79" fillId="0" borderId="0" xfId="82" applyFont="1" applyFill="1" applyAlignment="1">
      <alignment horizontal="right"/>
    </xf>
    <xf numFmtId="0" fontId="85" fillId="0" borderId="0" xfId="0" applyFont="1" applyAlignment="1">
      <alignment horizontal="center"/>
    </xf>
    <xf numFmtId="43" fontId="79" fillId="0" borderId="0" xfId="82" applyFont="1" applyAlignment="1">
      <alignment horizontal="right"/>
    </xf>
    <xf numFmtId="43" fontId="74" fillId="0" borderId="1" xfId="4" applyFont="1" applyBorder="1" applyAlignment="1">
      <alignment horizontal="right"/>
    </xf>
    <xf numFmtId="43" fontId="78" fillId="0" borderId="0" xfId="4" applyFont="1" applyAlignment="1">
      <alignment horizontal="right"/>
    </xf>
    <xf numFmtId="43" fontId="78" fillId="0" borderId="7" xfId="4" applyFont="1" applyBorder="1" applyAlignment="1">
      <alignment horizontal="right"/>
    </xf>
    <xf numFmtId="43" fontId="74" fillId="0" borderId="0" xfId="4" applyFont="1" applyFill="1" applyAlignment="1">
      <alignment horizontal="right"/>
    </xf>
    <xf numFmtId="43" fontId="81" fillId="0" borderId="0" xfId="4" applyFont="1" applyFill="1" applyAlignment="1"/>
    <xf numFmtId="43" fontId="74" fillId="0" borderId="1" xfId="4" applyFont="1" applyFill="1" applyBorder="1" applyAlignment="1">
      <alignment horizontal="right"/>
    </xf>
    <xf numFmtId="43" fontId="74" fillId="0" borderId="0" xfId="4" applyFont="1" applyAlignment="1">
      <alignment horizontal="center"/>
    </xf>
    <xf numFmtId="43" fontId="62" fillId="0" borderId="0" xfId="4" applyFont="1" applyAlignment="1">
      <alignment horizontal="right"/>
    </xf>
    <xf numFmtId="174" fontId="79" fillId="0" borderId="0" xfId="82" applyNumberFormat="1" applyFont="1" applyAlignment="1">
      <alignment horizontal="right"/>
    </xf>
    <xf numFmtId="43" fontId="86" fillId="0" borderId="0" xfId="92" applyFont="1" applyAlignment="1">
      <alignment horizontal="right"/>
    </xf>
    <xf numFmtId="174" fontId="74" fillId="0" borderId="0" xfId="4" applyNumberFormat="1" applyFont="1" applyAlignment="1">
      <alignment horizontal="right"/>
    </xf>
    <xf numFmtId="0" fontId="74" fillId="0" borderId="0" xfId="0" applyFont="1" applyProtection="1">
      <protection locked="0"/>
    </xf>
    <xf numFmtId="0" fontId="74" fillId="0" borderId="0" xfId="0" applyFont="1" applyAlignment="1" applyProtection="1">
      <alignment horizontal="center"/>
      <protection locked="0"/>
    </xf>
    <xf numFmtId="43" fontId="86" fillId="0" borderId="0" xfId="4" applyFont="1" applyAlignment="1">
      <alignment horizontal="right"/>
    </xf>
    <xf numFmtId="43" fontId="78" fillId="0" borderId="0" xfId="4" applyFont="1" applyAlignment="1">
      <alignment horizontal="center"/>
    </xf>
    <xf numFmtId="43" fontId="78" fillId="0" borderId="0" xfId="4" applyFont="1"/>
    <xf numFmtId="170" fontId="74" fillId="0" borderId="0" xfId="0" applyNumberFormat="1" applyFont="1"/>
    <xf numFmtId="168" fontId="74" fillId="0" borderId="0" xfId="4" applyNumberFormat="1" applyFont="1"/>
    <xf numFmtId="169" fontId="74" fillId="0" borderId="0" xfId="0" applyNumberFormat="1" applyFont="1"/>
    <xf numFmtId="0" fontId="74" fillId="0" borderId="0" xfId="0" applyFont="1" applyAlignment="1">
      <alignment vertical="top"/>
    </xf>
    <xf numFmtId="43" fontId="74" fillId="0" borderId="0" xfId="4" applyFont="1" applyAlignment="1">
      <alignment vertical="top"/>
    </xf>
    <xf numFmtId="43" fontId="79" fillId="0" borderId="0" xfId="111" applyFont="1" applyAlignment="1">
      <alignment horizontal="right"/>
    </xf>
    <xf numFmtId="0" fontId="84" fillId="0" borderId="0" xfId="0" applyFont="1"/>
    <xf numFmtId="49" fontId="75" fillId="0" borderId="0" xfId="0" applyNumberFormat="1" applyFont="1" applyProtection="1">
      <protection locked="0"/>
    </xf>
    <xf numFmtId="166" fontId="76" fillId="0" borderId="0" xfId="0" applyNumberFormat="1" applyFont="1" applyProtection="1">
      <protection locked="0"/>
    </xf>
    <xf numFmtId="43" fontId="76" fillId="0" borderId="0" xfId="0" applyNumberFormat="1" applyFont="1"/>
    <xf numFmtId="43" fontId="76" fillId="0" borderId="0" xfId="4" applyFont="1" applyAlignment="1"/>
    <xf numFmtId="43" fontId="78" fillId="0" borderId="13" xfId="4" applyFont="1" applyBorder="1" applyAlignment="1">
      <alignment horizontal="center" vertical="center" wrapText="1"/>
    </xf>
    <xf numFmtId="43" fontId="74" fillId="0" borderId="1" xfId="4" applyFont="1" applyFill="1" applyBorder="1" applyAlignment="1"/>
    <xf numFmtId="43" fontId="74" fillId="0" borderId="1" xfId="4" applyFont="1" applyBorder="1"/>
    <xf numFmtId="0" fontId="78" fillId="0" borderId="0" xfId="0" applyFont="1" applyAlignment="1">
      <alignment wrapText="1"/>
    </xf>
    <xf numFmtId="0" fontId="78" fillId="0" borderId="0" xfId="0" applyFont="1" applyAlignment="1">
      <alignment horizontal="left"/>
    </xf>
    <xf numFmtId="43" fontId="78" fillId="0" borderId="7" xfId="4" applyFont="1" applyBorder="1" applyAlignment="1"/>
    <xf numFmtId="43" fontId="87" fillId="0" borderId="0" xfId="4" applyFont="1" applyAlignment="1"/>
    <xf numFmtId="175" fontId="79" fillId="0" borderId="0" xfId="4" applyNumberFormat="1" applyFont="1" applyAlignment="1">
      <alignment horizontal="right"/>
    </xf>
    <xf numFmtId="175" fontId="74" fillId="0" borderId="0" xfId="4" applyNumberFormat="1" applyFont="1" applyAlignment="1"/>
    <xf numFmtId="175" fontId="87" fillId="0" borderId="0" xfId="4" applyNumberFormat="1" applyFont="1" applyAlignment="1"/>
    <xf numFmtId="43" fontId="79" fillId="0" borderId="0" xfId="4" applyFont="1" applyAlignment="1">
      <alignment horizontal="right"/>
    </xf>
    <xf numFmtId="0" fontId="74" fillId="0" borderId="0" xfId="0" applyFont="1" applyAlignment="1" applyProtection="1">
      <alignment vertical="top"/>
      <protection locked="0"/>
    </xf>
    <xf numFmtId="43" fontId="78" fillId="0" borderId="0" xfId="4" applyFont="1" applyAlignment="1">
      <alignment horizontal="center" vertical="top"/>
    </xf>
    <xf numFmtId="43" fontId="78" fillId="0" borderId="0" xfId="4" applyFont="1" applyAlignment="1">
      <alignment vertical="top"/>
    </xf>
    <xf numFmtId="43" fontId="74" fillId="0" borderId="0" xfId="4" applyFont="1" applyAlignment="1">
      <alignment horizontal="center" vertical="top"/>
    </xf>
    <xf numFmtId="0" fontId="73" fillId="0" borderId="0" xfId="18" applyFont="1"/>
    <xf numFmtId="0" fontId="73" fillId="0" borderId="0" xfId="18" applyFont="1" applyAlignment="1">
      <alignment horizontal="center"/>
    </xf>
    <xf numFmtId="43" fontId="78" fillId="0" borderId="13" xfId="4" applyFont="1" applyFill="1" applyBorder="1" applyAlignment="1">
      <alignment horizontal="center" vertical="center" wrapText="1"/>
    </xf>
    <xf numFmtId="43" fontId="73" fillId="0" borderId="0" xfId="84" applyFont="1" applyAlignment="1">
      <alignment horizontal="right"/>
    </xf>
    <xf numFmtId="43" fontId="62" fillId="0" borderId="0" xfId="4" applyFont="1" applyFill="1" applyAlignment="1">
      <alignment horizontal="center"/>
    </xf>
    <xf numFmtId="4" fontId="79" fillId="0" borderId="0" xfId="247" applyNumberFormat="1" applyFont="1"/>
    <xf numFmtId="43" fontId="88" fillId="0" borderId="0" xfId="4" applyFont="1" applyFill="1" applyAlignment="1">
      <alignment horizontal="center"/>
    </xf>
    <xf numFmtId="10" fontId="78" fillId="0" borderId="0" xfId="43" applyNumberFormat="1" applyFont="1" applyFill="1" applyAlignment="1">
      <alignment horizontal="center"/>
    </xf>
    <xf numFmtId="43" fontId="74" fillId="0" borderId="1" xfId="4" applyFont="1" applyFill="1" applyBorder="1"/>
    <xf numFmtId="0" fontId="78" fillId="0" borderId="0" xfId="0" applyFont="1" applyAlignment="1">
      <alignment horizontal="left" indent="3"/>
    </xf>
    <xf numFmtId="43" fontId="78" fillId="0" borderId="0" xfId="4" applyFont="1" applyFill="1"/>
    <xf numFmtId="43" fontId="74" fillId="0" borderId="0" xfId="0" applyNumberFormat="1" applyFont="1" applyAlignment="1">
      <alignment horizontal="center"/>
    </xf>
    <xf numFmtId="4" fontId="79" fillId="0" borderId="0" xfId="223" applyNumberFormat="1" applyFont="1"/>
    <xf numFmtId="43" fontId="78" fillId="0" borderId="0" xfId="4" applyFont="1" applyFill="1" applyBorder="1"/>
    <xf numFmtId="4" fontId="79" fillId="0" borderId="0" xfId="95" applyNumberFormat="1" applyFont="1"/>
    <xf numFmtId="43" fontId="74" fillId="0" borderId="0" xfId="4" applyFont="1" applyFill="1" applyAlignment="1">
      <alignment horizontal="center"/>
    </xf>
    <xf numFmtId="39" fontId="74" fillId="0" borderId="0" xfId="4" applyNumberFormat="1" applyFont="1" applyFill="1" applyAlignment="1">
      <alignment horizontal="right"/>
    </xf>
    <xf numFmtId="39" fontId="74" fillId="0" borderId="0" xfId="4" applyNumberFormat="1" applyFont="1" applyFill="1"/>
    <xf numFmtId="39" fontId="74" fillId="0" borderId="0" xfId="4" applyNumberFormat="1" applyFont="1"/>
    <xf numFmtId="0" fontId="74" fillId="0" borderId="0" xfId="0" applyFont="1" applyAlignment="1">
      <alignment wrapText="1"/>
    </xf>
    <xf numFmtId="43" fontId="74" fillId="0" borderId="0" xfId="6" applyFont="1" applyFill="1"/>
    <xf numFmtId="43" fontId="74" fillId="0" borderId="0" xfId="6" applyFont="1"/>
    <xf numFmtId="43" fontId="73" fillId="0" borderId="0" xfId="6" applyFont="1"/>
    <xf numFmtId="0" fontId="75" fillId="7" borderId="40" xfId="0" applyFont="1" applyFill="1" applyBorder="1" applyAlignment="1">
      <alignment horizontal="center"/>
    </xf>
    <xf numFmtId="0" fontId="78" fillId="0" borderId="34" xfId="0" applyFont="1" applyBorder="1" applyAlignment="1">
      <alignment horizontal="center"/>
    </xf>
    <xf numFmtId="43" fontId="78" fillId="0" borderId="34" xfId="4" applyFont="1" applyBorder="1" applyAlignment="1">
      <alignment horizontal="center"/>
    </xf>
    <xf numFmtId="43" fontId="78" fillId="0" borderId="37" xfId="4" applyFont="1" applyBorder="1" applyAlignment="1">
      <alignment horizontal="center"/>
    </xf>
    <xf numFmtId="0" fontId="78" fillId="0" borderId="0" xfId="0" applyFont="1" applyAlignment="1">
      <alignment horizontal="center" wrapText="1"/>
    </xf>
    <xf numFmtId="0" fontId="74" fillId="0" borderId="34" xfId="0" applyFont="1" applyBorder="1"/>
    <xf numFmtId="43" fontId="74" fillId="0" borderId="37" xfId="4" applyFont="1" applyBorder="1"/>
    <xf numFmtId="170" fontId="74" fillId="0" borderId="34" xfId="0" applyNumberFormat="1" applyFont="1" applyBorder="1"/>
    <xf numFmtId="168" fontId="74" fillId="0" borderId="34" xfId="4" applyNumberFormat="1" applyFont="1" applyBorder="1"/>
    <xf numFmtId="0" fontId="86" fillId="0" borderId="0" xfId="0" applyFont="1" applyAlignment="1">
      <alignment wrapText="1"/>
    </xf>
    <xf numFmtId="0" fontId="74" fillId="0" borderId="41" xfId="0" applyFont="1" applyBorder="1"/>
    <xf numFmtId="43" fontId="89" fillId="0" borderId="16" xfId="0" applyNumberFormat="1" applyFont="1" applyBorder="1"/>
    <xf numFmtId="0" fontId="74" fillId="0" borderId="38" xfId="0" applyFont="1" applyBorder="1"/>
    <xf numFmtId="164" fontId="73" fillId="0" borderId="0" xfId="7" applyFont="1"/>
    <xf numFmtId="43" fontId="78" fillId="0" borderId="0" xfId="4" applyFont="1" applyFill="1" applyAlignment="1"/>
    <xf numFmtId="172" fontId="78" fillId="0" borderId="0" xfId="0" applyNumberFormat="1" applyFont="1" applyAlignment="1">
      <alignment horizontal="center"/>
    </xf>
    <xf numFmtId="14" fontId="78" fillId="0" borderId="0" xfId="0" applyNumberFormat="1" applyFont="1" applyAlignment="1">
      <alignment horizontal="center"/>
    </xf>
    <xf numFmtId="43" fontId="78" fillId="0" borderId="0" xfId="4" applyFont="1" applyFill="1" applyAlignment="1">
      <alignment horizontal="center"/>
    </xf>
    <xf numFmtId="0" fontId="78" fillId="4" borderId="5" xfId="0" applyFont="1" applyFill="1" applyBorder="1" applyAlignment="1">
      <alignment horizontal="center"/>
    </xf>
    <xf numFmtId="0" fontId="78" fillId="4" borderId="12" xfId="0" applyFont="1" applyFill="1" applyBorder="1" applyAlignment="1">
      <alignment horizontal="center"/>
    </xf>
    <xf numFmtId="0" fontId="78" fillId="4" borderId="6" xfId="0" applyFont="1" applyFill="1" applyBorder="1" applyAlignment="1">
      <alignment horizontal="center"/>
    </xf>
    <xf numFmtId="4" fontId="79" fillId="0" borderId="0" xfId="236" applyNumberFormat="1" applyFont="1"/>
    <xf numFmtId="0" fontId="74" fillId="0" borderId="10" xfId="0" applyFont="1" applyBorder="1"/>
    <xf numFmtId="0" fontId="74" fillId="0" borderId="1" xfId="0" applyFont="1" applyBorder="1"/>
    <xf numFmtId="43" fontId="74" fillId="0" borderId="8" xfId="4" applyFont="1" applyBorder="1"/>
    <xf numFmtId="43" fontId="74" fillId="0" borderId="8" xfId="4" applyFont="1" applyBorder="1" applyAlignment="1">
      <alignment horizontal="right"/>
    </xf>
    <xf numFmtId="0" fontId="74" fillId="0" borderId="11" xfId="0" applyFont="1" applyBorder="1"/>
    <xf numFmtId="0" fontId="74" fillId="0" borderId="13" xfId="0" applyFont="1" applyBorder="1"/>
    <xf numFmtId="43" fontId="74" fillId="0" borderId="9" xfId="4" applyFont="1" applyBorder="1" applyAlignment="1">
      <alignment horizontal="right"/>
    </xf>
    <xf numFmtId="43" fontId="79" fillId="0" borderId="0" xfId="116" applyFont="1" applyAlignment="1">
      <alignment horizontal="right"/>
    </xf>
    <xf numFmtId="4" fontId="74" fillId="0" borderId="0" xfId="4" applyNumberFormat="1" applyFont="1" applyBorder="1" applyAlignment="1">
      <alignment horizontal="right"/>
    </xf>
    <xf numFmtId="4" fontId="79" fillId="0" borderId="0" xfId="261" applyNumberFormat="1" applyFont="1"/>
    <xf numFmtId="43" fontId="74" fillId="0" borderId="13" xfId="4" applyFont="1" applyBorder="1"/>
    <xf numFmtId="43" fontId="74" fillId="0" borderId="9" xfId="4" applyFont="1" applyFill="1" applyBorder="1" applyAlignment="1">
      <alignment horizontal="right"/>
    </xf>
    <xf numFmtId="43" fontId="90" fillId="0" borderId="9" xfId="4" applyFont="1" applyFill="1" applyBorder="1" applyAlignment="1">
      <alignment horizontal="right"/>
    </xf>
    <xf numFmtId="0" fontId="78" fillId="0" borderId="11" xfId="0" applyFont="1" applyBorder="1"/>
    <xf numFmtId="0" fontId="78" fillId="0" borderId="13" xfId="0" applyFont="1" applyBorder="1"/>
    <xf numFmtId="43" fontId="89" fillId="0" borderId="9" xfId="4" applyFont="1" applyBorder="1" applyAlignment="1">
      <alignment horizontal="right"/>
    </xf>
    <xf numFmtId="0" fontId="74" fillId="0" borderId="14" xfId="0" applyFont="1" applyBorder="1"/>
    <xf numFmtId="0" fontId="74" fillId="0" borderId="15" xfId="0" applyFont="1" applyBorder="1"/>
    <xf numFmtId="4" fontId="74" fillId="0" borderId="16" xfId="4" applyNumberFormat="1" applyFont="1" applyBorder="1" applyAlignment="1">
      <alignment horizontal="right"/>
    </xf>
    <xf numFmtId="43" fontId="74" fillId="0" borderId="0" xfId="0" applyNumberFormat="1" applyFont="1" applyAlignment="1">
      <alignment horizontal="right"/>
    </xf>
    <xf numFmtId="43" fontId="74" fillId="8" borderId="0" xfId="0" applyNumberFormat="1" applyFont="1" applyFill="1"/>
    <xf numFmtId="43" fontId="74" fillId="0" borderId="1" xfId="0" applyNumberFormat="1" applyFont="1" applyBorder="1" applyAlignment="1">
      <alignment horizontal="right"/>
    </xf>
    <xf numFmtId="0" fontId="74" fillId="0" borderId="0" xfId="0" applyFont="1" applyAlignment="1">
      <alignment horizontal="right"/>
    </xf>
    <xf numFmtId="43" fontId="74" fillId="0" borderId="0" xfId="4" applyFont="1" applyBorder="1" applyAlignment="1">
      <alignment horizontal="right"/>
    </xf>
    <xf numFmtId="43" fontId="90" fillId="0" borderId="0" xfId="4" applyFont="1" applyBorder="1" applyAlignment="1">
      <alignment horizontal="right"/>
    </xf>
    <xf numFmtId="43" fontId="78" fillId="8" borderId="7" xfId="0" applyNumberFormat="1" applyFont="1" applyFill="1" applyBorder="1" applyAlignment="1">
      <alignment horizontal="right"/>
    </xf>
    <xf numFmtId="0" fontId="79" fillId="0" borderId="0" xfId="260" quotePrefix="1" applyFont="1"/>
    <xf numFmtId="0" fontId="91" fillId="0" borderId="0" xfId="260" applyFont="1"/>
    <xf numFmtId="4" fontId="79" fillId="0" borderId="0" xfId="260" applyNumberFormat="1" applyFont="1"/>
    <xf numFmtId="0" fontId="79" fillId="0" borderId="0" xfId="260" applyFont="1"/>
    <xf numFmtId="0" fontId="73" fillId="0" borderId="11" xfId="0" applyFont="1" applyBorder="1"/>
    <xf numFmtId="43" fontId="74" fillId="0" borderId="2" xfId="4" applyFont="1" applyBorder="1"/>
    <xf numFmtId="4" fontId="74" fillId="0" borderId="9" xfId="4" applyNumberFormat="1" applyFont="1" applyBorder="1" applyAlignment="1">
      <alignment horizontal="right"/>
    </xf>
    <xf numFmtId="4" fontId="90" fillId="0" borderId="9" xfId="4" applyNumberFormat="1" applyFont="1" applyBorder="1" applyAlignment="1">
      <alignment horizontal="right"/>
    </xf>
    <xf numFmtId="43" fontId="89" fillId="0" borderId="2" xfId="4" applyFont="1" applyBorder="1"/>
    <xf numFmtId="43" fontId="78" fillId="0" borderId="2" xfId="4" applyFont="1" applyBorder="1"/>
    <xf numFmtId="4" fontId="89" fillId="0" borderId="9" xfId="4" applyNumberFormat="1" applyFont="1" applyBorder="1" applyAlignment="1">
      <alignment horizontal="right"/>
    </xf>
    <xf numFmtId="43" fontId="89" fillId="0" borderId="0" xfId="4" applyFont="1" applyBorder="1"/>
    <xf numFmtId="4" fontId="79" fillId="0" borderId="0" xfId="232" applyNumberFormat="1" applyFont="1"/>
    <xf numFmtId="0" fontId="78" fillId="0" borderId="14" xfId="0" applyFont="1" applyBorder="1"/>
    <xf numFmtId="43" fontId="78" fillId="0" borderId="17" xfId="4" applyFont="1" applyBorder="1"/>
    <xf numFmtId="4" fontId="74" fillId="0" borderId="16" xfId="0" applyNumberFormat="1" applyFont="1" applyBorder="1" applyAlignment="1">
      <alignment horizontal="right"/>
    </xf>
    <xf numFmtId="43" fontId="78" fillId="0" borderId="0" xfId="4" applyFont="1" applyBorder="1"/>
    <xf numFmtId="43" fontId="81" fillId="0" borderId="0" xfId="4" applyFont="1" applyAlignment="1">
      <alignment horizontal="center"/>
    </xf>
    <xf numFmtId="4" fontId="79" fillId="0" borderId="0" xfId="77" applyNumberFormat="1" applyFont="1"/>
    <xf numFmtId="0" fontId="79" fillId="0" borderId="0" xfId="18" applyFont="1"/>
    <xf numFmtId="43" fontId="90" fillId="0" borderId="0" xfId="4" applyFont="1"/>
    <xf numFmtId="43" fontId="81" fillId="0" borderId="0" xfId="0" applyNumberFormat="1" applyFont="1"/>
    <xf numFmtId="172" fontId="78" fillId="0" borderId="0" xfId="0" applyNumberFormat="1" applyFont="1"/>
    <xf numFmtId="43" fontId="73" fillId="0" borderId="10" xfId="6" applyFont="1" applyBorder="1"/>
    <xf numFmtId="39" fontId="73" fillId="0" borderId="8" xfId="6" applyNumberFormat="1" applyFont="1" applyBorder="1" applyAlignment="1">
      <alignment horizontal="right"/>
    </xf>
    <xf numFmtId="43" fontId="73" fillId="0" borderId="11" xfId="6" applyFont="1" applyBorder="1"/>
    <xf numFmtId="39" fontId="73" fillId="0" borderId="9" xfId="6" applyNumberFormat="1" applyFont="1" applyBorder="1" applyAlignment="1">
      <alignment horizontal="right"/>
    </xf>
    <xf numFmtId="39" fontId="92" fillId="0" borderId="9" xfId="6" applyNumberFormat="1" applyFont="1" applyBorder="1" applyAlignment="1">
      <alignment horizontal="right"/>
    </xf>
    <xf numFmtId="43" fontId="77" fillId="0" borderId="11" xfId="6" applyFont="1" applyBorder="1"/>
    <xf numFmtId="39" fontId="93" fillId="0" borderId="9" xfId="6" applyNumberFormat="1" applyFont="1" applyBorder="1" applyAlignment="1">
      <alignment horizontal="right"/>
    </xf>
    <xf numFmtId="43" fontId="73" fillId="0" borderId="14" xfId="6" applyFont="1" applyBorder="1"/>
    <xf numFmtId="43" fontId="73" fillId="0" borderId="16" xfId="6" applyFont="1" applyBorder="1"/>
    <xf numFmtId="0" fontId="78" fillId="4" borderId="19" xfId="0" applyFont="1" applyFill="1" applyBorder="1" applyAlignment="1">
      <alignment horizontal="center"/>
    </xf>
    <xf numFmtId="0" fontId="78" fillId="4" borderId="18" xfId="0" applyFont="1" applyFill="1" applyBorder="1" applyAlignment="1">
      <alignment horizontal="center"/>
    </xf>
    <xf numFmtId="0" fontId="78" fillId="4" borderId="17" xfId="0" applyFont="1" applyFill="1" applyBorder="1" applyAlignment="1">
      <alignment horizontal="center"/>
    </xf>
    <xf numFmtId="0" fontId="78" fillId="4" borderId="16" xfId="0" applyFont="1" applyFill="1" applyBorder="1" applyAlignment="1">
      <alignment horizontal="center"/>
    </xf>
    <xf numFmtId="0" fontId="74" fillId="0" borderId="4" xfId="0" applyFont="1" applyBorder="1" applyAlignment="1">
      <alignment horizontal="left"/>
    </xf>
    <xf numFmtId="43" fontId="74" fillId="0" borderId="4" xfId="4" applyFont="1" applyBorder="1"/>
    <xf numFmtId="43" fontId="74" fillId="0" borderId="4" xfId="4" applyFont="1" applyFill="1" applyBorder="1"/>
    <xf numFmtId="0" fontId="74" fillId="0" borderId="2" xfId="0" applyFont="1" applyBorder="1" applyAlignment="1">
      <alignment horizontal="left" wrapText="1"/>
    </xf>
    <xf numFmtId="43" fontId="74" fillId="0" borderId="2" xfId="4" applyFont="1" applyFill="1" applyBorder="1"/>
    <xf numFmtId="0" fontId="95" fillId="0" borderId="2" xfId="0" applyFont="1" applyBorder="1"/>
    <xf numFmtId="0" fontId="95" fillId="0" borderId="2" xfId="0" applyFont="1" applyBorder="1" applyAlignment="1">
      <alignment wrapText="1"/>
    </xf>
    <xf numFmtId="4" fontId="81" fillId="0" borderId="0" xfId="0" applyNumberFormat="1" applyFont="1"/>
    <xf numFmtId="0" fontId="74" fillId="0" borderId="2" xfId="0" applyFont="1" applyBorder="1" applyAlignment="1">
      <alignment horizontal="left" vertical="center" wrapText="1"/>
    </xf>
    <xf numFmtId="0" fontId="95" fillId="0" borderId="2" xfId="0" applyFont="1" applyBorder="1" applyAlignment="1">
      <alignment vertical="center" wrapText="1"/>
    </xf>
    <xf numFmtId="43" fontId="90" fillId="0" borderId="2" xfId="4" applyFont="1" applyBorder="1"/>
    <xf numFmtId="0" fontId="74" fillId="0" borderId="2" xfId="0" applyFont="1" applyBorder="1"/>
    <xf numFmtId="0" fontId="78" fillId="0" borderId="2" xfId="0" applyFont="1" applyBorder="1"/>
    <xf numFmtId="0" fontId="96" fillId="6" borderId="0" xfId="0" applyFont="1" applyFill="1"/>
    <xf numFmtId="0" fontId="91" fillId="0" borderId="0" xfId="238" applyFont="1"/>
    <xf numFmtId="4" fontId="79" fillId="0" borderId="0" xfId="238" applyNumberFormat="1" applyFont="1"/>
    <xf numFmtId="4" fontId="97" fillId="0" borderId="0" xfId="238" applyNumberFormat="1" applyFont="1"/>
    <xf numFmtId="0" fontId="86" fillId="0" borderId="0" xfId="0" applyFont="1"/>
    <xf numFmtId="0" fontId="77" fillId="4" borderId="5" xfId="0" applyFont="1" applyFill="1" applyBorder="1" applyAlignment="1">
      <alignment horizontal="center"/>
    </xf>
    <xf numFmtId="0" fontId="77" fillId="4" borderId="12" xfId="0" applyFont="1" applyFill="1" applyBorder="1" applyAlignment="1">
      <alignment horizontal="center"/>
    </xf>
    <xf numFmtId="14" fontId="74" fillId="0" borderId="4" xfId="0" applyNumberFormat="1" applyFont="1" applyBorder="1" applyAlignment="1">
      <alignment horizontal="center"/>
    </xf>
    <xf numFmtId="0" fontId="74" fillId="0" borderId="4" xfId="0" applyFont="1" applyBorder="1" applyAlignment="1">
      <alignment horizontal="center"/>
    </xf>
    <xf numFmtId="0" fontId="74" fillId="0" borderId="4" xfId="0" applyFont="1" applyBorder="1"/>
    <xf numFmtId="14" fontId="74" fillId="0" borderId="2" xfId="0" applyNumberFormat="1" applyFont="1" applyBorder="1" applyAlignment="1">
      <alignment horizontal="center"/>
    </xf>
    <xf numFmtId="0" fontId="74" fillId="0" borderId="2" xfId="0" applyFont="1" applyBorder="1" applyAlignment="1">
      <alignment horizontal="center"/>
    </xf>
    <xf numFmtId="4" fontId="86" fillId="0" borderId="0" xfId="0" applyNumberFormat="1" applyFont="1"/>
    <xf numFmtId="0" fontId="86" fillId="0" borderId="4" xfId="0" applyFont="1" applyBorder="1"/>
    <xf numFmtId="43" fontId="93" fillId="0" borderId="2" xfId="4" applyFont="1" applyBorder="1"/>
    <xf numFmtId="43" fontId="86" fillId="0" borderId="0" xfId="0" applyNumberFormat="1" applyFont="1"/>
    <xf numFmtId="0" fontId="96" fillId="6" borderId="0" xfId="0" applyFont="1" applyFill="1" applyAlignment="1">
      <alignment horizontal="center" vertical="center"/>
    </xf>
    <xf numFmtId="0" fontId="78" fillId="4" borderId="33" xfId="0" applyFont="1" applyFill="1" applyBorder="1" applyAlignment="1">
      <alignment horizontal="center"/>
    </xf>
    <xf numFmtId="0" fontId="75" fillId="0" borderId="14" xfId="0" applyFont="1" applyBorder="1"/>
    <xf numFmtId="4" fontId="99" fillId="0" borderId="16" xfId="0" applyNumberFormat="1" applyFont="1" applyBorder="1"/>
    <xf numFmtId="0" fontId="77" fillId="0" borderId="0" xfId="0" applyFont="1"/>
    <xf numFmtId="16" fontId="73" fillId="0" borderId="0" xfId="0" applyNumberFormat="1" applyFont="1"/>
    <xf numFmtId="0" fontId="73" fillId="0" borderId="11" xfId="0" applyFont="1" applyBorder="1" applyAlignment="1">
      <alignment horizontal="center"/>
    </xf>
    <xf numFmtId="0" fontId="73" fillId="0" borderId="2" xfId="0" applyFont="1" applyBorder="1"/>
    <xf numFmtId="0" fontId="73" fillId="0" borderId="2" xfId="0" applyFont="1" applyBorder="1" applyAlignment="1">
      <alignment horizontal="center"/>
    </xf>
    <xf numFmtId="43" fontId="73" fillId="0" borderId="2" xfId="6" applyFont="1" applyBorder="1"/>
    <xf numFmtId="43" fontId="73" fillId="0" borderId="8" xfId="0" applyNumberFormat="1" applyFont="1" applyBorder="1"/>
    <xf numFmtId="43" fontId="92" fillId="0" borderId="2" xfId="6" applyFont="1" applyBorder="1"/>
    <xf numFmtId="43" fontId="92" fillId="0" borderId="8" xfId="0" applyNumberFormat="1" applyFont="1" applyBorder="1"/>
    <xf numFmtId="0" fontId="77" fillId="0" borderId="2" xfId="0" applyFont="1" applyBorder="1" applyAlignment="1">
      <alignment horizontal="right"/>
    </xf>
    <xf numFmtId="43" fontId="93" fillId="0" borderId="2" xfId="0" applyNumberFormat="1" applyFont="1" applyBorder="1"/>
    <xf numFmtId="0" fontId="93" fillId="0" borderId="2" xfId="0" applyFont="1" applyBorder="1"/>
    <xf numFmtId="0" fontId="73" fillId="0" borderId="14" xfId="0" applyFont="1" applyBorder="1"/>
    <xf numFmtId="0" fontId="77" fillId="0" borderId="17" xfId="0" applyFont="1" applyBorder="1" applyAlignment="1">
      <alignment horizontal="center"/>
    </xf>
    <xf numFmtId="0" fontId="73" fillId="0" borderId="17" xfId="0" applyFont="1" applyBorder="1"/>
    <xf numFmtId="0" fontId="77" fillId="0" borderId="17" xfId="0" applyFont="1" applyBorder="1"/>
    <xf numFmtId="43" fontId="93" fillId="0" borderId="17" xfId="0" applyNumberFormat="1" applyFont="1" applyBorder="1"/>
    <xf numFmtId="0" fontId="100" fillId="0" borderId="17" xfId="0" applyFont="1" applyBorder="1"/>
    <xf numFmtId="43" fontId="93" fillId="0" borderId="16" xfId="0" applyNumberFormat="1" applyFont="1" applyBorder="1"/>
    <xf numFmtId="43" fontId="61" fillId="0" borderId="0" xfId="0" applyNumberFormat="1" applyFont="1"/>
    <xf numFmtId="0" fontId="78" fillId="4" borderId="35" xfId="0" applyFont="1" applyFill="1" applyBorder="1" applyAlignment="1">
      <alignment horizontal="center"/>
    </xf>
    <xf numFmtId="0" fontId="74" fillId="0" borderId="30" xfId="0" applyFont="1" applyBorder="1"/>
    <xf numFmtId="43" fontId="73" fillId="0" borderId="18" xfId="4" applyFont="1" applyBorder="1" applyAlignment="1">
      <alignment horizontal="right"/>
    </xf>
    <xf numFmtId="43" fontId="98" fillId="0" borderId="8" xfId="4" applyFont="1" applyBorder="1" applyAlignment="1">
      <alignment horizontal="right"/>
    </xf>
    <xf numFmtId="43" fontId="74" fillId="0" borderId="16" xfId="4" applyFont="1" applyBorder="1" applyAlignment="1">
      <alignment horizontal="right"/>
    </xf>
    <xf numFmtId="4" fontId="79" fillId="0" borderId="0" xfId="262" applyNumberFormat="1" applyFont="1"/>
    <xf numFmtId="0" fontId="101" fillId="6" borderId="0" xfId="0" applyFont="1" applyFill="1" applyAlignment="1">
      <alignment horizontal="center" vertical="center"/>
    </xf>
    <xf numFmtId="43" fontId="77" fillId="0" borderId="10" xfId="6" applyFont="1" applyBorder="1"/>
    <xf numFmtId="43" fontId="73" fillId="0" borderId="8" xfId="6" applyFont="1" applyBorder="1"/>
    <xf numFmtId="43" fontId="92" fillId="0" borderId="8" xfId="6" applyFont="1" applyBorder="1"/>
    <xf numFmtId="43" fontId="77" fillId="0" borderId="10" xfId="6" applyFont="1" applyFill="1" applyBorder="1"/>
    <xf numFmtId="43" fontId="77" fillId="0" borderId="8" xfId="6" applyFont="1" applyFill="1" applyBorder="1"/>
    <xf numFmtId="43" fontId="73" fillId="0" borderId="10" xfId="6" applyFont="1" applyFill="1" applyBorder="1"/>
    <xf numFmtId="43" fontId="73" fillId="0" borderId="8" xfId="6" applyFont="1" applyFill="1" applyBorder="1"/>
    <xf numFmtId="43" fontId="73" fillId="0" borderId="9" xfId="6" applyFont="1" applyBorder="1"/>
    <xf numFmtId="43" fontId="92" fillId="0" borderId="9" xfId="6" applyFont="1" applyBorder="1"/>
    <xf numFmtId="43" fontId="102" fillId="0" borderId="8" xfId="6" applyFont="1" applyFill="1" applyBorder="1"/>
    <xf numFmtId="43" fontId="77" fillId="0" borderId="11" xfId="6" applyFont="1" applyFill="1" applyBorder="1"/>
    <xf numFmtId="43" fontId="93" fillId="0" borderId="9" xfId="6" applyFont="1" applyFill="1" applyBorder="1"/>
    <xf numFmtId="43" fontId="74" fillId="0" borderId="7" xfId="0" applyNumberFormat="1" applyFont="1" applyBorder="1"/>
    <xf numFmtId="43" fontId="73" fillId="0" borderId="11" xfId="6" applyFont="1" applyBorder="1" applyAlignment="1">
      <alignment horizontal="right"/>
    </xf>
    <xf numFmtId="43" fontId="93" fillId="0" borderId="9" xfId="6" applyFont="1" applyBorder="1"/>
    <xf numFmtId="43" fontId="73" fillId="0" borderId="0" xfId="6" applyFont="1" applyBorder="1"/>
    <xf numFmtId="4" fontId="73" fillId="0" borderId="0" xfId="212" applyNumberFormat="1" applyFont="1"/>
    <xf numFmtId="4" fontId="73" fillId="0" borderId="0" xfId="112" applyNumberFormat="1" applyFont="1"/>
    <xf numFmtId="43" fontId="78" fillId="4" borderId="6" xfId="6" applyFont="1" applyFill="1" applyBorder="1" applyAlignment="1">
      <alignment horizontal="center"/>
    </xf>
    <xf numFmtId="49" fontId="74" fillId="0" borderId="20" xfId="0" applyNumberFormat="1" applyFont="1" applyBorder="1"/>
    <xf numFmtId="43" fontId="74" fillId="0" borderId="21" xfId="4" applyFont="1" applyBorder="1"/>
    <xf numFmtId="43" fontId="90" fillId="0" borderId="21" xfId="4" applyFont="1" applyBorder="1"/>
    <xf numFmtId="0" fontId="78" fillId="0" borderId="22" xfId="0" applyFont="1" applyBorder="1"/>
    <xf numFmtId="43" fontId="89" fillId="0" borderId="23" xfId="4" applyFont="1" applyBorder="1"/>
    <xf numFmtId="43" fontId="74" fillId="0" borderId="0" xfId="4" applyFont="1" applyBorder="1"/>
    <xf numFmtId="0" fontId="74" fillId="0" borderId="24" xfId="0" applyFont="1" applyBorder="1"/>
    <xf numFmtId="0" fontId="74" fillId="0" borderId="3" xfId="0" applyFont="1" applyBorder="1"/>
    <xf numFmtId="43" fontId="74" fillId="0" borderId="25" xfId="4" applyFont="1" applyBorder="1"/>
    <xf numFmtId="0" fontId="74" fillId="0" borderId="20" xfId="0" applyFont="1" applyBorder="1"/>
    <xf numFmtId="0" fontId="78" fillId="0" borderId="26" xfId="0" applyFont="1" applyBorder="1"/>
    <xf numFmtId="0" fontId="78" fillId="0" borderId="1" xfId="0" applyFont="1" applyBorder="1"/>
    <xf numFmtId="43" fontId="89" fillId="0" borderId="27" xfId="4" applyFont="1" applyBorder="1"/>
    <xf numFmtId="0" fontId="74" fillId="4" borderId="0" xfId="0" applyFont="1" applyFill="1"/>
    <xf numFmtId="43" fontId="74" fillId="4" borderId="0" xfId="4" applyFont="1" applyFill="1"/>
    <xf numFmtId="0" fontId="103" fillId="0" borderId="0" xfId="0" applyFont="1"/>
    <xf numFmtId="43" fontId="103" fillId="0" borderId="0" xfId="4" applyFont="1"/>
    <xf numFmtId="0" fontId="104" fillId="0" borderId="0" xfId="0" applyFont="1"/>
    <xf numFmtId="43" fontId="78" fillId="0" borderId="3" xfId="4" applyFont="1" applyBorder="1"/>
    <xf numFmtId="43" fontId="93" fillId="0" borderId="0" xfId="4" applyFont="1"/>
    <xf numFmtId="0" fontId="78" fillId="5" borderId="5" xfId="0" applyFont="1" applyFill="1" applyBorder="1" applyAlignment="1">
      <alignment horizontal="center"/>
    </xf>
    <xf numFmtId="0" fontId="78" fillId="5" borderId="12" xfId="0" applyFont="1" applyFill="1" applyBorder="1" applyAlignment="1">
      <alignment horizontal="center"/>
    </xf>
    <xf numFmtId="43" fontId="78" fillId="5" borderId="6" xfId="6" applyFont="1" applyFill="1" applyBorder="1" applyAlignment="1">
      <alignment horizontal="center"/>
    </xf>
    <xf numFmtId="49" fontId="74" fillId="5" borderId="10" xfId="0" applyNumberFormat="1" applyFont="1" applyFill="1" applyBorder="1"/>
    <xf numFmtId="0" fontId="74" fillId="5" borderId="4" xfId="0" applyFont="1" applyFill="1" applyBorder="1"/>
    <xf numFmtId="0" fontId="74" fillId="5" borderId="4" xfId="0" applyFont="1" applyFill="1" applyBorder="1" applyAlignment="1">
      <alignment horizontal="center"/>
    </xf>
    <xf numFmtId="43" fontId="90" fillId="5" borderId="8" xfId="6" applyFont="1" applyFill="1" applyBorder="1"/>
    <xf numFmtId="0" fontId="78" fillId="5" borderId="14" xfId="0" applyFont="1" applyFill="1" applyBorder="1"/>
    <xf numFmtId="0" fontId="78" fillId="5" borderId="17" xfId="0" applyFont="1" applyFill="1" applyBorder="1"/>
    <xf numFmtId="43" fontId="89" fillId="5" borderId="16" xfId="6" applyFont="1" applyFill="1" applyBorder="1"/>
    <xf numFmtId="0" fontId="74" fillId="5" borderId="10" xfId="0" applyFont="1" applyFill="1" applyBorder="1"/>
    <xf numFmtId="14" fontId="74" fillId="5" borderId="4" xfId="0" applyNumberFormat="1" applyFont="1" applyFill="1" applyBorder="1" applyAlignment="1">
      <alignment horizontal="center"/>
    </xf>
    <xf numFmtId="43" fontId="74" fillId="5" borderId="8" xfId="6" applyFont="1" applyFill="1" applyBorder="1"/>
    <xf numFmtId="0" fontId="74" fillId="5" borderId="11" xfId="0" applyFont="1" applyFill="1" applyBorder="1"/>
    <xf numFmtId="0" fontId="74" fillId="5" borderId="2" xfId="0" applyFont="1" applyFill="1" applyBorder="1"/>
    <xf numFmtId="14" fontId="81" fillId="5" borderId="2" xfId="0" applyNumberFormat="1" applyFont="1" applyFill="1" applyBorder="1" applyAlignment="1">
      <alignment horizontal="center"/>
    </xf>
    <xf numFmtId="43" fontId="90" fillId="5" borderId="9" xfId="6" applyFont="1" applyFill="1" applyBorder="1"/>
    <xf numFmtId="43" fontId="73" fillId="0" borderId="0" xfId="4" applyFont="1"/>
    <xf numFmtId="43" fontId="105" fillId="0" borderId="0" xfId="4" applyFont="1"/>
    <xf numFmtId="43" fontId="102" fillId="0" borderId="0" xfId="4" applyFont="1"/>
    <xf numFmtId="43" fontId="93" fillId="0" borderId="0" xfId="4" applyFont="1" applyBorder="1"/>
    <xf numFmtId="0" fontId="74" fillId="5" borderId="0" xfId="0" applyFont="1" applyFill="1"/>
    <xf numFmtId="43" fontId="74" fillId="5" borderId="0" xfId="0" applyNumberFormat="1" applyFont="1" applyFill="1"/>
    <xf numFmtId="0" fontId="106" fillId="5" borderId="4" xfId="0" applyFont="1" applyFill="1" applyBorder="1"/>
    <xf numFmtId="14" fontId="74" fillId="5" borderId="2" xfId="0" applyNumberFormat="1" applyFont="1" applyFill="1" applyBorder="1" applyAlignment="1">
      <alignment horizontal="center"/>
    </xf>
    <xf numFmtId="43" fontId="78" fillId="0" borderId="0" xfId="0" applyNumberFormat="1" applyFont="1"/>
    <xf numFmtId="0" fontId="74" fillId="5" borderId="30" xfId="0" applyFont="1" applyFill="1" applyBorder="1"/>
    <xf numFmtId="0" fontId="74" fillId="5" borderId="19" xfId="0" applyFont="1" applyFill="1" applyBorder="1"/>
    <xf numFmtId="14" fontId="74" fillId="5" borderId="19" xfId="0" applyNumberFormat="1" applyFont="1" applyFill="1" applyBorder="1" applyAlignment="1">
      <alignment horizontal="center"/>
    </xf>
    <xf numFmtId="43" fontId="74" fillId="5" borderId="18" xfId="6" applyFont="1" applyFill="1" applyBorder="1"/>
    <xf numFmtId="0" fontId="74" fillId="5" borderId="14" xfId="0" applyFont="1" applyFill="1" applyBorder="1"/>
    <xf numFmtId="0" fontId="74" fillId="5" borderId="17" xfId="0" applyFont="1" applyFill="1" applyBorder="1"/>
    <xf numFmtId="14" fontId="74" fillId="5" borderId="17" xfId="0" applyNumberFormat="1" applyFont="1" applyFill="1" applyBorder="1" applyAlignment="1">
      <alignment horizontal="center"/>
    </xf>
    <xf numFmtId="43" fontId="90" fillId="5" borderId="16" xfId="6" applyFont="1" applyFill="1" applyBorder="1"/>
    <xf numFmtId="43" fontId="77" fillId="0" borderId="0" xfId="4" applyFont="1"/>
    <xf numFmtId="0" fontId="74" fillId="5" borderId="19" xfId="0" applyFont="1" applyFill="1" applyBorder="1" applyAlignment="1">
      <alignment vertical="center"/>
    </xf>
    <xf numFmtId="0" fontId="78" fillId="4" borderId="0" xfId="0" applyFont="1" applyFill="1"/>
    <xf numFmtId="43" fontId="78" fillId="4" borderId="0" xfId="4" applyFont="1" applyFill="1"/>
    <xf numFmtId="43" fontId="78" fillId="0" borderId="7" xfId="0" applyNumberFormat="1" applyFont="1" applyBorder="1"/>
    <xf numFmtId="0" fontId="107" fillId="0" borderId="0" xfId="71" applyFont="1" applyAlignment="1">
      <alignment vertical="center"/>
    </xf>
    <xf numFmtId="0" fontId="95" fillId="5" borderId="4" xfId="0" applyFont="1" applyFill="1" applyBorder="1" applyAlignment="1">
      <alignment horizontal="center"/>
    </xf>
    <xf numFmtId="0" fontId="74" fillId="5" borderId="4" xfId="0" applyFont="1" applyFill="1" applyBorder="1" applyAlignment="1">
      <alignment horizontal="center" vertical="center"/>
    </xf>
    <xf numFmtId="49" fontId="74" fillId="5" borderId="4" xfId="0" applyNumberFormat="1" applyFont="1" applyFill="1" applyBorder="1" applyAlignment="1">
      <alignment horizontal="center"/>
    </xf>
    <xf numFmtId="43" fontId="74" fillId="0" borderId="9" xfId="4" applyFont="1" applyBorder="1"/>
    <xf numFmtId="43" fontId="90" fillId="0" borderId="9" xfId="4" applyFont="1" applyBorder="1"/>
    <xf numFmtId="43" fontId="89" fillId="0" borderId="9" xfId="4" applyFont="1" applyBorder="1"/>
    <xf numFmtId="0" fontId="74" fillId="0" borderId="16" xfId="0" applyFont="1" applyBorder="1"/>
    <xf numFmtId="43" fontId="90" fillId="0" borderId="4" xfId="4" applyFont="1" applyBorder="1"/>
    <xf numFmtId="0" fontId="78" fillId="0" borderId="2" xfId="0" applyFont="1" applyBorder="1" applyAlignment="1">
      <alignment horizontal="right"/>
    </xf>
    <xf numFmtId="4" fontId="73" fillId="0" borderId="0" xfId="78" applyNumberFormat="1" applyFont="1"/>
    <xf numFmtId="0" fontId="108" fillId="9" borderId="5" xfId="0" applyFont="1" applyFill="1" applyBorder="1" applyAlignment="1">
      <alignment horizontal="center"/>
    </xf>
    <xf numFmtId="0" fontId="108" fillId="9" borderId="12" xfId="0" applyFont="1" applyFill="1" applyBorder="1" applyAlignment="1">
      <alignment horizontal="center"/>
    </xf>
    <xf numFmtId="0" fontId="108" fillId="9" borderId="6" xfId="0" applyFont="1" applyFill="1" applyBorder="1" applyAlignment="1">
      <alignment horizontal="center"/>
    </xf>
    <xf numFmtId="0" fontId="108" fillId="9" borderId="4" xfId="0" applyFont="1" applyFill="1" applyBorder="1" applyAlignment="1">
      <alignment horizontal="center"/>
    </xf>
    <xf numFmtId="0" fontId="74" fillId="9" borderId="47" xfId="0" applyFont="1" applyFill="1" applyBorder="1" applyAlignment="1">
      <alignment horizontal="center"/>
    </xf>
    <xf numFmtId="14" fontId="74" fillId="9" borderId="47" xfId="0" applyNumberFormat="1" applyFont="1" applyFill="1" applyBorder="1" applyAlignment="1">
      <alignment horizontal="center"/>
    </xf>
    <xf numFmtId="4" fontId="74" fillId="9" borderId="47" xfId="0" applyNumberFormat="1" applyFont="1" applyFill="1" applyBorder="1"/>
    <xf numFmtId="0" fontId="74" fillId="9" borderId="42" xfId="0" applyFont="1" applyFill="1" applyBorder="1" applyAlignment="1">
      <alignment horizontal="center"/>
    </xf>
    <xf numFmtId="14" fontId="74" fillId="9" borderId="42" xfId="0" applyNumberFormat="1" applyFont="1" applyFill="1" applyBorder="1" applyAlignment="1">
      <alignment horizontal="center"/>
    </xf>
    <xf numFmtId="4" fontId="74" fillId="9" borderId="42" xfId="0" applyNumberFormat="1" applyFont="1" applyFill="1" applyBorder="1"/>
    <xf numFmtId="4" fontId="85" fillId="9" borderId="42" xfId="0" applyNumberFormat="1" applyFont="1" applyFill="1" applyBorder="1"/>
    <xf numFmtId="4" fontId="99" fillId="9" borderId="42" xfId="0" applyNumberFormat="1" applyFont="1" applyFill="1" applyBorder="1"/>
    <xf numFmtId="0" fontId="74" fillId="9" borderId="42" xfId="0" applyFont="1" applyFill="1" applyBorder="1"/>
    <xf numFmtId="0" fontId="78" fillId="11" borderId="0" xfId="0" applyFont="1" applyFill="1" applyAlignment="1">
      <alignment horizontal="center"/>
    </xf>
    <xf numFmtId="4" fontId="108" fillId="9" borderId="42" xfId="0" applyNumberFormat="1" applyFont="1" applyFill="1" applyBorder="1"/>
    <xf numFmtId="0" fontId="74" fillId="9" borderId="45" xfId="0" applyFont="1" applyFill="1" applyBorder="1" applyAlignment="1">
      <alignment horizontal="center"/>
    </xf>
    <xf numFmtId="14" fontId="74" fillId="9" borderId="46" xfId="0" applyNumberFormat="1" applyFont="1" applyFill="1" applyBorder="1" applyAlignment="1">
      <alignment horizontal="center"/>
    </xf>
    <xf numFmtId="0" fontId="109" fillId="9" borderId="45" xfId="0" applyFont="1" applyFill="1" applyBorder="1" applyAlignment="1">
      <alignment horizontal="center" vertical="center"/>
    </xf>
    <xf numFmtId="0" fontId="109" fillId="9" borderId="46" xfId="0" applyFont="1" applyFill="1" applyBorder="1" applyAlignment="1">
      <alignment horizontal="center" vertical="center"/>
    </xf>
    <xf numFmtId="4" fontId="78" fillId="9" borderId="42" xfId="0" applyNumberFormat="1" applyFont="1" applyFill="1" applyBorder="1"/>
    <xf numFmtId="0" fontId="74" fillId="9" borderId="50" xfId="0" applyFont="1" applyFill="1" applyBorder="1" applyAlignment="1">
      <alignment horizontal="center"/>
    </xf>
    <xf numFmtId="0" fontId="74" fillId="14" borderId="50" xfId="0" applyFont="1" applyFill="1" applyBorder="1" applyAlignment="1">
      <alignment horizontal="center"/>
    </xf>
    <xf numFmtId="14" fontId="74" fillId="14" borderId="46" xfId="0" applyNumberFormat="1" applyFont="1" applyFill="1" applyBorder="1" applyAlignment="1">
      <alignment horizontal="center"/>
    </xf>
    <xf numFmtId="0" fontId="95" fillId="9" borderId="50" xfId="0" applyFont="1" applyFill="1" applyBorder="1" applyAlignment="1">
      <alignment horizontal="center"/>
    </xf>
    <xf numFmtId="14" fontId="95" fillId="9" borderId="46" xfId="0" applyNumberFormat="1" applyFont="1" applyFill="1" applyBorder="1" applyAlignment="1">
      <alignment horizontal="center"/>
    </xf>
    <xf numFmtId="43" fontId="108" fillId="0" borderId="0" xfId="4" applyFont="1"/>
    <xf numFmtId="0" fontId="77" fillId="0" borderId="0" xfId="90" applyFont="1"/>
    <xf numFmtId="0" fontId="73" fillId="0" borderId="0" xfId="90" applyFont="1"/>
    <xf numFmtId="0" fontId="73" fillId="0" borderId="0" xfId="90" quotePrefix="1" applyFont="1"/>
    <xf numFmtId="14" fontId="73" fillId="0" borderId="0" xfId="90" applyNumberFormat="1" applyFont="1"/>
    <xf numFmtId="0" fontId="73" fillId="10" borderId="0" xfId="90" applyFont="1" applyFill="1" applyAlignment="1">
      <alignment horizontal="center"/>
    </xf>
    <xf numFmtId="4" fontId="73" fillId="0" borderId="0" xfId="90" applyNumberFormat="1" applyFont="1"/>
    <xf numFmtId="4" fontId="73" fillId="0" borderId="7" xfId="90" applyNumberFormat="1" applyFont="1" applyBorder="1"/>
    <xf numFmtId="0" fontId="73" fillId="10" borderId="0" xfId="90" applyFont="1" applyFill="1"/>
    <xf numFmtId="0" fontId="73" fillId="0" borderId="0" xfId="90" applyFont="1" applyAlignment="1">
      <alignment horizontal="right"/>
    </xf>
    <xf numFmtId="14" fontId="73" fillId="0" borderId="0" xfId="98" applyNumberFormat="1" applyFont="1"/>
    <xf numFmtId="0" fontId="73" fillId="0" borderId="0" xfId="98" applyFont="1"/>
    <xf numFmtId="17" fontId="78" fillId="0" borderId="0" xfId="73" applyNumberFormat="1" applyFont="1"/>
    <xf numFmtId="43" fontId="74" fillId="0" borderId="0" xfId="73" applyNumberFormat="1" applyFont="1"/>
    <xf numFmtId="0" fontId="74" fillId="0" borderId="0" xfId="73" applyFont="1"/>
    <xf numFmtId="0" fontId="108" fillId="4" borderId="5" xfId="73" applyFont="1" applyFill="1" applyBorder="1" applyAlignment="1">
      <alignment horizontal="center" vertical="center" wrapText="1"/>
    </xf>
    <xf numFmtId="0" fontId="82" fillId="4" borderId="12" xfId="73" applyFont="1" applyFill="1" applyBorder="1" applyAlignment="1">
      <alignment horizontal="center" vertical="center" wrapText="1"/>
    </xf>
    <xf numFmtId="0" fontId="82" fillId="4" borderId="6" xfId="73" applyFont="1" applyFill="1" applyBorder="1" applyAlignment="1">
      <alignment horizontal="center" vertical="center" wrapText="1"/>
    </xf>
    <xf numFmtId="0" fontId="74" fillId="0" borderId="10" xfId="73" applyFont="1" applyBorder="1"/>
    <xf numFmtId="0" fontId="74" fillId="0" borderId="11" xfId="73" applyFont="1" applyBorder="1"/>
    <xf numFmtId="0" fontId="78" fillId="0" borderId="11" xfId="73" applyFont="1" applyBorder="1" applyAlignment="1">
      <alignment wrapText="1"/>
    </xf>
    <xf numFmtId="0" fontId="78" fillId="0" borderId="11" xfId="73" applyFont="1" applyBorder="1" applyAlignment="1">
      <alignment horizontal="center" wrapText="1"/>
    </xf>
    <xf numFmtId="0" fontId="78" fillId="0" borderId="11" xfId="73" applyFont="1" applyBorder="1" applyAlignment="1">
      <alignment vertical="center" wrapText="1"/>
    </xf>
    <xf numFmtId="0" fontId="78" fillId="0" borderId="11" xfId="73" applyFont="1" applyBorder="1"/>
    <xf numFmtId="0" fontId="74" fillId="0" borderId="14" xfId="73" applyFont="1" applyBorder="1"/>
    <xf numFmtId="4" fontId="73" fillId="0" borderId="0" xfId="374" applyNumberFormat="1" applyFont="1"/>
    <xf numFmtId="43" fontId="78" fillId="0" borderId="0" xfId="75" applyFont="1"/>
    <xf numFmtId="43" fontId="103" fillId="0" borderId="4" xfId="4" applyFont="1" applyBorder="1"/>
    <xf numFmtId="43" fontId="103" fillId="0" borderId="4" xfId="4" applyFont="1" applyFill="1" applyBorder="1"/>
    <xf numFmtId="43" fontId="103" fillId="0" borderId="8" xfId="4" applyFont="1" applyBorder="1"/>
    <xf numFmtId="43" fontId="103" fillId="0" borderId="2" xfId="4" applyFont="1" applyFill="1" applyBorder="1"/>
    <xf numFmtId="43" fontId="103" fillId="0" borderId="2" xfId="4" applyFont="1" applyBorder="1"/>
    <xf numFmtId="43" fontId="110" fillId="0" borderId="2" xfId="4" applyFont="1" applyFill="1" applyBorder="1"/>
    <xf numFmtId="43" fontId="110" fillId="0" borderId="4" xfId="4" applyFont="1" applyFill="1" applyBorder="1"/>
    <xf numFmtId="43" fontId="110" fillId="0" borderId="2" xfId="4" applyFont="1" applyBorder="1"/>
    <xf numFmtId="43" fontId="110" fillId="0" borderId="8" xfId="4" applyFont="1" applyBorder="1"/>
    <xf numFmtId="4" fontId="73" fillId="0" borderId="0" xfId="109" applyNumberFormat="1" applyFont="1"/>
    <xf numFmtId="43" fontId="111" fillId="0" borderId="2" xfId="4" applyFont="1" applyFill="1" applyBorder="1"/>
    <xf numFmtId="43" fontId="111" fillId="0" borderId="2" xfId="4" applyFont="1" applyBorder="1"/>
    <xf numFmtId="43" fontId="111" fillId="0" borderId="9" xfId="4" applyFont="1" applyBorder="1"/>
    <xf numFmtId="43" fontId="78" fillId="0" borderId="2" xfId="4" applyFont="1" applyFill="1" applyBorder="1"/>
    <xf numFmtId="43" fontId="78" fillId="0" borderId="9" xfId="4" applyFont="1" applyBorder="1"/>
    <xf numFmtId="4" fontId="73" fillId="0" borderId="0" xfId="236" applyNumberFormat="1" applyFont="1"/>
    <xf numFmtId="43" fontId="90" fillId="0" borderId="2" xfId="4" applyFont="1" applyFill="1" applyBorder="1"/>
    <xf numFmtId="43" fontId="90" fillId="0" borderId="4" xfId="4" applyFont="1" applyFill="1" applyBorder="1"/>
    <xf numFmtId="43" fontId="90" fillId="0" borderId="8" xfId="4" applyFont="1" applyBorder="1"/>
    <xf numFmtId="43" fontId="112" fillId="0" borderId="2" xfId="4" applyFont="1" applyFill="1" applyBorder="1" applyAlignment="1">
      <alignment wrapText="1"/>
    </xf>
    <xf numFmtId="43" fontId="112" fillId="0" borderId="2" xfId="4" applyFont="1" applyBorder="1" applyAlignment="1">
      <alignment wrapText="1"/>
    </xf>
    <xf numFmtId="43" fontId="112" fillId="0" borderId="9" xfId="4" applyFont="1" applyBorder="1" applyAlignment="1">
      <alignment wrapText="1"/>
    </xf>
    <xf numFmtId="43" fontId="112" fillId="0" borderId="2" xfId="4" applyFont="1" applyFill="1" applyBorder="1"/>
    <xf numFmtId="43" fontId="112" fillId="0" borderId="2" xfId="4" applyFont="1" applyBorder="1"/>
    <xf numFmtId="43" fontId="89" fillId="0" borderId="2" xfId="4" applyFont="1" applyFill="1" applyBorder="1"/>
    <xf numFmtId="43" fontId="74" fillId="0" borderId="17" xfId="4" applyFont="1" applyBorder="1"/>
    <xf numFmtId="43" fontId="74" fillId="0" borderId="17" xfId="4" applyFont="1" applyFill="1" applyBorder="1"/>
    <xf numFmtId="43" fontId="74" fillId="0" borderId="16" xfId="4" applyFont="1" applyBorder="1"/>
    <xf numFmtId="4" fontId="73" fillId="0" borderId="0" xfId="77" applyNumberFormat="1" applyFont="1"/>
    <xf numFmtId="14" fontId="78" fillId="0" borderId="0" xfId="0" applyNumberFormat="1" applyFont="1"/>
    <xf numFmtId="0" fontId="74" fillId="0" borderId="10" xfId="18" applyFont="1" applyBorder="1"/>
    <xf numFmtId="43" fontId="74" fillId="5" borderId="8" xfId="4" applyFont="1" applyFill="1" applyBorder="1"/>
    <xf numFmtId="4" fontId="77" fillId="0" borderId="0" xfId="113" applyNumberFormat="1" applyFont="1"/>
    <xf numFmtId="0" fontId="74" fillId="0" borderId="11" xfId="18" applyFont="1" applyBorder="1"/>
    <xf numFmtId="43" fontId="74" fillId="5" borderId="9" xfId="4" applyFont="1" applyFill="1" applyBorder="1"/>
    <xf numFmtId="43" fontId="90" fillId="5" borderId="9" xfId="4" applyFont="1" applyFill="1" applyBorder="1"/>
    <xf numFmtId="0" fontId="78" fillId="0" borderId="11" xfId="18" applyFont="1" applyBorder="1"/>
    <xf numFmtId="43" fontId="89" fillId="0" borderId="9" xfId="4" applyFont="1" applyFill="1" applyBorder="1"/>
    <xf numFmtId="0" fontId="74" fillId="0" borderId="30" xfId="18" applyFont="1" applyBorder="1"/>
    <xf numFmtId="4" fontId="74" fillId="0" borderId="18" xfId="18" applyNumberFormat="1" applyFont="1" applyBorder="1"/>
    <xf numFmtId="4" fontId="74" fillId="0" borderId="8" xfId="18" applyNumberFormat="1" applyFont="1" applyBorder="1"/>
    <xf numFmtId="4" fontId="85" fillId="0" borderId="8" xfId="18" applyNumberFormat="1" applyFont="1" applyBorder="1"/>
    <xf numFmtId="43" fontId="89" fillId="0" borderId="16" xfId="4" applyFont="1" applyBorder="1"/>
    <xf numFmtId="4" fontId="74" fillId="0" borderId="9" xfId="18" applyNumberFormat="1" applyFont="1" applyBorder="1"/>
    <xf numFmtId="4" fontId="85" fillId="0" borderId="9" xfId="18" applyNumberFormat="1" applyFont="1" applyBorder="1"/>
    <xf numFmtId="0" fontId="74" fillId="0" borderId="53" xfId="0" applyFont="1" applyBorder="1" applyAlignment="1">
      <alignment horizontal="left"/>
    </xf>
    <xf numFmtId="43" fontId="74" fillId="0" borderId="37" xfId="4" applyFont="1" applyFill="1" applyBorder="1" applyAlignment="1">
      <alignment horizontal="center"/>
    </xf>
    <xf numFmtId="43" fontId="74" fillId="0" borderId="9" xfId="4" applyFont="1" applyFill="1" applyBorder="1"/>
    <xf numFmtId="43" fontId="74" fillId="0" borderId="0" xfId="45" applyFont="1"/>
    <xf numFmtId="4" fontId="73" fillId="0" borderId="0" xfId="86" applyNumberFormat="1" applyFont="1"/>
    <xf numFmtId="43" fontId="73" fillId="0" borderId="0" xfId="257" applyFont="1" applyAlignment="1">
      <alignment horizontal="right"/>
    </xf>
    <xf numFmtId="0" fontId="73" fillId="0" borderId="0" xfId="87" applyFont="1"/>
    <xf numFmtId="4" fontId="73" fillId="0" borderId="0" xfId="87" applyNumberFormat="1" applyFont="1"/>
    <xf numFmtId="0" fontId="73" fillId="0" borderId="0" xfId="76" applyFont="1"/>
    <xf numFmtId="4" fontId="73" fillId="0" borderId="0" xfId="76" applyNumberFormat="1" applyFont="1"/>
    <xf numFmtId="0" fontId="78" fillId="4" borderId="5" xfId="0" applyFont="1" applyFill="1" applyBorder="1" applyAlignment="1">
      <alignment horizontal="center" vertical="center"/>
    </xf>
    <xf numFmtId="0" fontId="78" fillId="4" borderId="6" xfId="0" applyFont="1" applyFill="1" applyBorder="1" applyAlignment="1">
      <alignment horizontal="center" vertical="center"/>
    </xf>
    <xf numFmtId="0" fontId="74" fillId="0" borderId="10" xfId="18" applyFont="1" applyBorder="1" applyAlignment="1">
      <alignment wrapText="1"/>
    </xf>
    <xf numFmtId="43" fontId="90" fillId="0" borderId="8" xfId="4" applyFont="1" applyFill="1" applyBorder="1"/>
    <xf numFmtId="4" fontId="85" fillId="0" borderId="0" xfId="18" applyNumberFormat="1" applyFont="1"/>
    <xf numFmtId="0" fontId="78" fillId="0" borderId="11" xfId="18" applyFont="1" applyBorder="1" applyAlignment="1">
      <alignment wrapText="1"/>
    </xf>
    <xf numFmtId="43" fontId="74" fillId="0" borderId="0" xfId="45" applyFont="1" applyFill="1" applyBorder="1"/>
    <xf numFmtId="4" fontId="73" fillId="0" borderId="0" xfId="113" applyNumberFormat="1" applyFont="1"/>
    <xf numFmtId="0" fontId="73" fillId="0" borderId="0" xfId="113" applyFont="1"/>
    <xf numFmtId="4" fontId="78" fillId="0" borderId="0" xfId="0" applyNumberFormat="1" applyFont="1" applyAlignment="1">
      <alignment horizontal="center"/>
    </xf>
    <xf numFmtId="43" fontId="74" fillId="5" borderId="8" xfId="6" applyFont="1" applyFill="1" applyBorder="1" applyAlignment="1">
      <alignment horizontal="right"/>
    </xf>
    <xf numFmtId="43" fontId="74" fillId="5" borderId="9" xfId="6" applyFont="1" applyFill="1" applyBorder="1" applyAlignment="1">
      <alignment horizontal="right"/>
    </xf>
    <xf numFmtId="43" fontId="90" fillId="5" borderId="9" xfId="6" applyFont="1" applyFill="1" applyBorder="1" applyAlignment="1">
      <alignment horizontal="right"/>
    </xf>
    <xf numFmtId="43" fontId="77" fillId="0" borderId="34" xfId="35" applyFont="1" applyBorder="1" applyAlignment="1">
      <alignment horizontal="right"/>
    </xf>
    <xf numFmtId="43" fontId="74" fillId="0" borderId="14" xfId="0" applyNumberFormat="1" applyFont="1" applyBorder="1"/>
    <xf numFmtId="8" fontId="74" fillId="0" borderId="0" xfId="0" applyNumberFormat="1" applyFont="1" applyAlignment="1">
      <alignment horizontal="left" vertical="center" indent="4"/>
    </xf>
    <xf numFmtId="43" fontId="73" fillId="0" borderId="9" xfId="4" applyFont="1" applyFill="1" applyBorder="1"/>
    <xf numFmtId="0" fontId="74" fillId="0" borderId="10" xfId="0" applyFont="1" applyBorder="1" applyAlignment="1">
      <alignment horizontal="left" wrapText="1"/>
    </xf>
    <xf numFmtId="43" fontId="92" fillId="0" borderId="36" xfId="4" applyFont="1" applyFill="1" applyBorder="1"/>
    <xf numFmtId="43" fontId="74" fillId="0" borderId="16" xfId="0" applyNumberFormat="1" applyFont="1" applyBorder="1"/>
    <xf numFmtId="43" fontId="73" fillId="0" borderId="0" xfId="259" applyFont="1" applyAlignment="1">
      <alignment horizontal="right"/>
    </xf>
    <xf numFmtId="43" fontId="73" fillId="5" borderId="0" xfId="224" applyFont="1" applyFill="1"/>
    <xf numFmtId="43" fontId="74" fillId="5" borderId="0" xfId="4" applyFont="1" applyFill="1"/>
    <xf numFmtId="43" fontId="73" fillId="5" borderId="0" xfId="225" applyFont="1" applyFill="1" applyBorder="1"/>
    <xf numFmtId="0" fontId="77" fillId="0" borderId="5" xfId="0" applyFont="1" applyBorder="1" applyAlignment="1">
      <alignment horizontal="center"/>
    </xf>
    <xf numFmtId="0" fontId="73" fillId="0" borderId="4" xfId="0" applyFont="1" applyBorder="1" applyAlignment="1">
      <alignment vertical="center"/>
    </xf>
    <xf numFmtId="0" fontId="73" fillId="0" borderId="4" xfId="0" applyFont="1" applyBorder="1" applyAlignment="1">
      <alignment wrapText="1"/>
    </xf>
    <xf numFmtId="43" fontId="73" fillId="0" borderId="4" xfId="4" applyFont="1" applyFill="1" applyBorder="1" applyAlignment="1">
      <alignment wrapText="1"/>
    </xf>
    <xf numFmtId="43" fontId="73" fillId="0" borderId="4" xfId="6" applyFont="1" applyFill="1" applyBorder="1"/>
    <xf numFmtId="43" fontId="73" fillId="0" borderId="2" xfId="4" applyFont="1" applyFill="1" applyBorder="1"/>
    <xf numFmtId="43" fontId="73" fillId="0" borderId="2" xfId="6" applyFont="1" applyFill="1" applyBorder="1"/>
    <xf numFmtId="0" fontId="73" fillId="0" borderId="2" xfId="0" applyFont="1" applyBorder="1" applyAlignment="1">
      <alignment vertical="center"/>
    </xf>
    <xf numFmtId="0" fontId="73" fillId="0" borderId="2" xfId="0" applyFont="1" applyBorder="1" applyAlignment="1">
      <alignment horizontal="left" vertical="center"/>
    </xf>
    <xf numFmtId="43" fontId="92" fillId="0" borderId="2" xfId="6" applyFont="1" applyFill="1" applyBorder="1"/>
    <xf numFmtId="0" fontId="77" fillId="0" borderId="2" xfId="0" applyFont="1" applyBorder="1"/>
    <xf numFmtId="43" fontId="77" fillId="0" borderId="2" xfId="6" applyFont="1" applyFill="1" applyBorder="1"/>
    <xf numFmtId="0" fontId="98" fillId="0" borderId="2" xfId="0" applyFont="1" applyBorder="1" applyAlignment="1">
      <alignment horizontal="center"/>
    </xf>
    <xf numFmtId="43" fontId="82" fillId="0" borderId="2" xfId="6" applyFont="1" applyFill="1" applyBorder="1" applyAlignment="1"/>
    <xf numFmtId="43" fontId="113" fillId="0" borderId="2" xfId="6" applyFont="1" applyFill="1" applyBorder="1" applyAlignment="1"/>
    <xf numFmtId="43" fontId="93" fillId="0" borderId="2" xfId="4" applyFont="1" applyFill="1" applyBorder="1"/>
    <xf numFmtId="0" fontId="78" fillId="0" borderId="5" xfId="0" applyFont="1" applyBorder="1" applyAlignment="1">
      <alignment horizontal="center"/>
    </xf>
    <xf numFmtId="0" fontId="78" fillId="0" borderId="12" xfId="0" applyFont="1" applyBorder="1" applyAlignment="1">
      <alignment horizontal="center"/>
    </xf>
    <xf numFmtId="0" fontId="78" fillId="0" borderId="6" xfId="0" applyFont="1" applyBorder="1" applyAlignment="1">
      <alignment horizontal="center"/>
    </xf>
    <xf numFmtId="17" fontId="74" fillId="0" borderId="4" xfId="0" applyNumberFormat="1" applyFont="1" applyBorder="1"/>
    <xf numFmtId="43" fontId="74" fillId="0" borderId="4" xfId="0" applyNumberFormat="1" applyFont="1" applyBorder="1"/>
    <xf numFmtId="17" fontId="74" fillId="0" borderId="2" xfId="0" applyNumberFormat="1" applyFont="1" applyBorder="1"/>
    <xf numFmtId="43" fontId="74" fillId="0" borderId="2" xfId="0" applyNumberFormat="1" applyFont="1" applyBorder="1"/>
    <xf numFmtId="17" fontId="81" fillId="0" borderId="2" xfId="0" applyNumberFormat="1" applyFont="1" applyBorder="1"/>
    <xf numFmtId="43" fontId="81" fillId="0" borderId="2" xfId="4" applyFont="1" applyBorder="1"/>
    <xf numFmtId="43" fontId="81" fillId="0" borderId="4" xfId="0" applyNumberFormat="1" applyFont="1" applyBorder="1"/>
    <xf numFmtId="0" fontId="74" fillId="0" borderId="7" xfId="0" applyFont="1" applyBorder="1"/>
    <xf numFmtId="43" fontId="77" fillId="12" borderId="7" xfId="4" applyFont="1" applyFill="1" applyBorder="1"/>
    <xf numFmtId="0" fontId="77" fillId="0" borderId="0" xfId="0" applyFont="1" applyAlignment="1">
      <alignment horizontal="center" vertical="center"/>
    </xf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vertical="center"/>
    </xf>
    <xf numFmtId="0" fontId="77" fillId="0" borderId="5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0" fontId="77" fillId="0" borderId="6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/>
    </xf>
    <xf numFmtId="0" fontId="74" fillId="0" borderId="4" xfId="0" applyFont="1" applyBorder="1" applyAlignment="1">
      <alignment horizontal="center" vertical="center"/>
    </xf>
    <xf numFmtId="0" fontId="74" fillId="13" borderId="4" xfId="0" applyFont="1" applyFill="1" applyBorder="1" applyAlignment="1">
      <alignment horizontal="right"/>
    </xf>
    <xf numFmtId="0" fontId="74" fillId="0" borderId="4" xfId="0" applyFont="1" applyBorder="1" applyAlignment="1">
      <alignment horizontal="right"/>
    </xf>
    <xf numFmtId="0" fontId="78" fillId="0" borderId="2" xfId="0" applyFont="1" applyBorder="1" applyAlignment="1">
      <alignment horizontal="center" vertical="center"/>
    </xf>
    <xf numFmtId="0" fontId="74" fillId="0" borderId="2" xfId="0" applyFont="1" applyBorder="1" applyAlignment="1">
      <alignment vertical="center"/>
    </xf>
    <xf numFmtId="0" fontId="74" fillId="0" borderId="2" xfId="0" applyFont="1" applyBorder="1" applyAlignment="1">
      <alignment horizontal="center" vertical="center"/>
    </xf>
    <xf numFmtId="0" fontId="74" fillId="13" borderId="2" xfId="0" applyFont="1" applyFill="1" applyBorder="1" applyAlignment="1">
      <alignment horizontal="right"/>
    </xf>
    <xf numFmtId="0" fontId="74" fillId="0" borderId="2" xfId="0" applyFont="1" applyBorder="1" applyAlignment="1">
      <alignment horizontal="left" vertical="center"/>
    </xf>
    <xf numFmtId="0" fontId="74" fillId="0" borderId="2" xfId="0" applyFont="1" applyBorder="1" applyAlignment="1">
      <alignment horizontal="right"/>
    </xf>
    <xf numFmtId="0" fontId="74" fillId="0" borderId="2" xfId="0" applyFont="1" applyBorder="1" applyAlignment="1">
      <alignment horizontal="left"/>
    </xf>
    <xf numFmtId="0" fontId="74" fillId="0" borderId="2" xfId="0" applyFont="1" applyBorder="1" applyAlignment="1">
      <alignment vertical="center" wrapText="1"/>
    </xf>
    <xf numFmtId="1" fontId="74" fillId="0" borderId="2" xfId="0" applyNumberFormat="1" applyFont="1" applyBorder="1" applyAlignment="1">
      <alignment horizontal="center" vertical="center"/>
    </xf>
    <xf numFmtId="0" fontId="98" fillId="0" borderId="0" xfId="0" applyFont="1" applyAlignment="1">
      <alignment horizontal="center"/>
    </xf>
    <xf numFmtId="0" fontId="96" fillId="0" borderId="0" xfId="0" applyFont="1"/>
    <xf numFmtId="43" fontId="77" fillId="0" borderId="6" xfId="4" applyFont="1" applyBorder="1" applyAlignment="1">
      <alignment horizontal="center"/>
    </xf>
    <xf numFmtId="0" fontId="73" fillId="0" borderId="4" xfId="0" applyFont="1" applyBorder="1"/>
    <xf numFmtId="43" fontId="73" fillId="0" borderId="4" xfId="4" applyFont="1" applyBorder="1"/>
    <xf numFmtId="43" fontId="73" fillId="0" borderId="2" xfId="4" applyFont="1" applyBorder="1"/>
    <xf numFmtId="43" fontId="92" fillId="0" borderId="2" xfId="4" applyFont="1" applyBorder="1"/>
    <xf numFmtId="43" fontId="73" fillId="0" borderId="0" xfId="4" applyFont="1" applyBorder="1"/>
    <xf numFmtId="43" fontId="114" fillId="0" borderId="51" xfId="4" applyFont="1" applyBorder="1"/>
    <xf numFmtId="0" fontId="77" fillId="0" borderId="7" xfId="0" applyFont="1" applyBorder="1"/>
    <xf numFmtId="43" fontId="77" fillId="0" borderId="7" xfId="0" applyNumberFormat="1" applyFont="1" applyBorder="1"/>
    <xf numFmtId="43" fontId="74" fillId="0" borderId="18" xfId="6" applyFont="1" applyBorder="1" applyAlignment="1">
      <alignment horizontal="right"/>
    </xf>
    <xf numFmtId="43" fontId="74" fillId="0" borderId="9" xfId="6" applyFont="1" applyBorder="1" applyAlignment="1">
      <alignment horizontal="right"/>
    </xf>
    <xf numFmtId="43" fontId="90" fillId="0" borderId="9" xfId="6" applyFont="1" applyBorder="1" applyAlignment="1">
      <alignment horizontal="right"/>
    </xf>
    <xf numFmtId="43" fontId="89" fillId="0" borderId="9" xfId="0" applyNumberFormat="1" applyFont="1" applyBorder="1"/>
    <xf numFmtId="43" fontId="78" fillId="0" borderId="16" xfId="0" applyNumberFormat="1" applyFont="1" applyBorder="1"/>
    <xf numFmtId="4" fontId="74" fillId="0" borderId="0" xfId="18" applyNumberFormat="1" applyFont="1"/>
    <xf numFmtId="43" fontId="78" fillId="0" borderId="16" xfId="4" applyFont="1" applyBorder="1"/>
    <xf numFmtId="43" fontId="73" fillId="0" borderId="0" xfId="225" applyFont="1" applyFill="1" applyBorder="1"/>
    <xf numFmtId="4" fontId="73" fillId="0" borderId="4" xfId="212" applyNumberFormat="1" applyFont="1" applyBorder="1"/>
    <xf numFmtId="4" fontId="73" fillId="0" borderId="0" xfId="247" applyNumberFormat="1" applyFont="1"/>
    <xf numFmtId="4" fontId="73" fillId="0" borderId="0" xfId="240" applyNumberFormat="1" applyFont="1"/>
    <xf numFmtId="4" fontId="73" fillId="0" borderId="0" xfId="95" applyNumberFormat="1" applyFont="1"/>
    <xf numFmtId="0" fontId="76" fillId="0" borderId="10" xfId="0" applyFont="1" applyBorder="1"/>
    <xf numFmtId="4" fontId="98" fillId="0" borderId="8" xfId="18" applyNumberFormat="1" applyFont="1" applyBorder="1"/>
    <xf numFmtId="0" fontId="78" fillId="4" borderId="5" xfId="0" applyFont="1" applyFill="1" applyBorder="1" applyAlignment="1">
      <alignment horizontal="center" vertical="center" wrapText="1"/>
    </xf>
    <xf numFmtId="0" fontId="77" fillId="4" borderId="35" xfId="0" applyFont="1" applyFill="1" applyBorder="1" applyAlignment="1">
      <alignment horizontal="center" vertical="center"/>
    </xf>
    <xf numFmtId="0" fontId="77" fillId="4" borderId="43" xfId="0" applyFont="1" applyFill="1" applyBorder="1" applyAlignment="1">
      <alignment horizontal="center" vertical="center"/>
    </xf>
    <xf numFmtId="0" fontId="77" fillId="4" borderId="43" xfId="0" applyFont="1" applyFill="1" applyBorder="1" applyAlignment="1">
      <alignment horizontal="center" vertical="center" wrapText="1"/>
    </xf>
    <xf numFmtId="0" fontId="77" fillId="4" borderId="33" xfId="0" applyFont="1" applyFill="1" applyBorder="1" applyAlignment="1">
      <alignment horizontal="center" vertical="center" wrapText="1"/>
    </xf>
    <xf numFmtId="0" fontId="73" fillId="0" borderId="30" xfId="0" applyFont="1" applyBorder="1" applyAlignment="1">
      <alignment horizontal="center"/>
    </xf>
    <xf numFmtId="0" fontId="73" fillId="0" borderId="19" xfId="0" applyFont="1" applyBorder="1"/>
    <xf numFmtId="0" fontId="73" fillId="0" borderId="19" xfId="0" applyFont="1" applyBorder="1" applyAlignment="1">
      <alignment horizontal="center"/>
    </xf>
    <xf numFmtId="43" fontId="73" fillId="0" borderId="19" xfId="6" applyFont="1" applyBorder="1"/>
    <xf numFmtId="43" fontId="73" fillId="0" borderId="18" xfId="0" applyNumberFormat="1" applyFont="1" applyBorder="1"/>
    <xf numFmtId="43" fontId="93" fillId="0" borderId="9" xfId="0" applyNumberFormat="1" applyFont="1" applyBorder="1"/>
    <xf numFmtId="0" fontId="106" fillId="5" borderId="4" xfId="0" applyFont="1" applyFill="1" applyBorder="1" applyAlignment="1">
      <alignment horizontal="center" wrapText="1"/>
    </xf>
    <xf numFmtId="43" fontId="77" fillId="0" borderId="6" xfId="6" applyFont="1" applyFill="1" applyBorder="1" applyAlignment="1">
      <alignment horizontal="center" vertical="center"/>
    </xf>
    <xf numFmtId="0" fontId="78" fillId="0" borderId="5" xfId="0" applyFont="1" applyBorder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0" fontId="78" fillId="0" borderId="6" xfId="0" applyFont="1" applyBorder="1" applyAlignment="1">
      <alignment horizontal="center" vertical="center"/>
    </xf>
    <xf numFmtId="0" fontId="77" fillId="13" borderId="12" xfId="0" applyFont="1" applyFill="1" applyBorder="1" applyAlignment="1">
      <alignment horizontal="center" vertical="center" wrapText="1"/>
    </xf>
    <xf numFmtId="43" fontId="74" fillId="8" borderId="2" xfId="4" applyFont="1" applyFill="1" applyBorder="1"/>
    <xf numFmtId="0" fontId="74" fillId="0" borderId="0" xfId="0" applyFont="1" applyAlignment="1">
      <alignment horizontal="center"/>
    </xf>
    <xf numFmtId="43" fontId="74" fillId="0" borderId="0" xfId="4" applyFont="1" applyAlignment="1">
      <alignment horizontal="center"/>
    </xf>
    <xf numFmtId="43" fontId="78" fillId="0" borderId="0" xfId="4" applyFont="1" applyAlignment="1">
      <alignment horizontal="center"/>
    </xf>
    <xf numFmtId="0" fontId="75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49" fontId="75" fillId="0" borderId="0" xfId="0" applyNumberFormat="1" applyFont="1" applyAlignment="1" applyProtection="1">
      <alignment horizontal="center"/>
      <protection locked="0"/>
    </xf>
    <xf numFmtId="166" fontId="76" fillId="0" borderId="0" xfId="0" applyNumberFormat="1" applyFont="1" applyAlignment="1" applyProtection="1">
      <alignment horizontal="center"/>
      <protection locked="0"/>
    </xf>
    <xf numFmtId="0" fontId="78" fillId="0" borderId="0" xfId="0" applyFont="1" applyAlignment="1">
      <alignment horizontal="center"/>
    </xf>
    <xf numFmtId="0" fontId="78" fillId="0" borderId="0" xfId="0" applyFont="1" applyAlignment="1">
      <alignment horizontal="center" vertical="top"/>
    </xf>
    <xf numFmtId="0" fontId="74" fillId="0" borderId="0" xfId="0" applyFont="1" applyAlignment="1">
      <alignment horizontal="center" vertical="top"/>
    </xf>
    <xf numFmtId="43" fontId="78" fillId="0" borderId="0" xfId="4" applyFont="1" applyAlignment="1">
      <alignment horizontal="center" vertical="top"/>
    </xf>
    <xf numFmtId="43" fontId="74" fillId="0" borderId="0" xfId="4" applyFont="1" applyAlignment="1">
      <alignment horizontal="center" vertical="top"/>
    </xf>
    <xf numFmtId="49" fontId="75" fillId="7" borderId="40" xfId="0" applyNumberFormat="1" applyFont="1" applyFill="1" applyBorder="1" applyAlignment="1">
      <alignment horizontal="center"/>
    </xf>
    <xf numFmtId="49" fontId="75" fillId="7" borderId="39" xfId="0" applyNumberFormat="1" applyFont="1" applyFill="1" applyBorder="1" applyAlignment="1">
      <alignment horizontal="center"/>
    </xf>
    <xf numFmtId="0" fontId="81" fillId="0" borderId="29" xfId="0" applyFont="1" applyBorder="1" applyAlignment="1">
      <alignment horizontal="center" vertical="center" wrapText="1"/>
    </xf>
    <xf numFmtId="0" fontId="81" fillId="0" borderId="28" xfId="0" applyFont="1" applyBorder="1" applyAlignment="1">
      <alignment horizontal="center" vertical="center" wrapText="1"/>
    </xf>
    <xf numFmtId="0" fontId="81" fillId="0" borderId="4" xfId="0" applyFont="1" applyBorder="1" applyAlignment="1">
      <alignment horizontal="center" vertical="center" wrapText="1"/>
    </xf>
    <xf numFmtId="172" fontId="78" fillId="0" borderId="0" xfId="0" applyNumberFormat="1" applyFont="1" applyAlignment="1">
      <alignment horizontal="center"/>
    </xf>
    <xf numFmtId="0" fontId="95" fillId="0" borderId="28" xfId="0" applyFont="1" applyBorder="1" applyAlignment="1">
      <alignment horizontal="center" wrapText="1"/>
    </xf>
    <xf numFmtId="0" fontId="95" fillId="0" borderId="4" xfId="0" applyFont="1" applyBorder="1" applyAlignment="1">
      <alignment horizontal="center" wrapText="1"/>
    </xf>
    <xf numFmtId="0" fontId="78" fillId="4" borderId="30" xfId="0" applyFont="1" applyFill="1" applyBorder="1" applyAlignment="1">
      <alignment horizontal="center" vertical="center" wrapText="1"/>
    </xf>
    <xf numFmtId="0" fontId="78" fillId="4" borderId="19" xfId="0" applyFont="1" applyFill="1" applyBorder="1" applyAlignment="1">
      <alignment horizontal="center" vertical="center" wrapText="1"/>
    </xf>
    <xf numFmtId="0" fontId="78" fillId="4" borderId="14" xfId="0" applyFont="1" applyFill="1" applyBorder="1" applyAlignment="1">
      <alignment horizontal="center" vertical="center" wrapText="1"/>
    </xf>
    <xf numFmtId="0" fontId="78" fillId="4" borderId="17" xfId="0" applyFont="1" applyFill="1" applyBorder="1" applyAlignment="1">
      <alignment horizontal="center" vertical="center" wrapText="1"/>
    </xf>
    <xf numFmtId="0" fontId="78" fillId="4" borderId="43" xfId="0" applyFont="1" applyFill="1" applyBorder="1" applyAlignment="1">
      <alignment horizontal="center" vertical="center" wrapText="1"/>
    </xf>
    <xf numFmtId="0" fontId="78" fillId="4" borderId="44" xfId="0" applyFont="1" applyFill="1" applyBorder="1" applyAlignment="1">
      <alignment horizontal="center" vertical="center" wrapText="1"/>
    </xf>
    <xf numFmtId="0" fontId="77" fillId="0" borderId="0" xfId="0" applyFont="1" applyAlignment="1">
      <alignment horizontal="center"/>
    </xf>
    <xf numFmtId="173" fontId="77" fillId="0" borderId="0" xfId="0" applyNumberFormat="1" applyFont="1" applyAlignment="1">
      <alignment horizontal="center"/>
    </xf>
    <xf numFmtId="0" fontId="78" fillId="0" borderId="0" xfId="0" applyFont="1" applyAlignment="1">
      <alignment horizontal="center" wrapText="1"/>
    </xf>
    <xf numFmtId="0" fontId="78" fillId="4" borderId="52" xfId="0" applyFont="1" applyFill="1" applyBorder="1" applyAlignment="1">
      <alignment horizontal="center"/>
    </xf>
    <xf numFmtId="0" fontId="78" fillId="4" borderId="39" xfId="0" applyFont="1" applyFill="1" applyBorder="1" applyAlignment="1">
      <alignment horizontal="center"/>
    </xf>
    <xf numFmtId="173" fontId="78" fillId="0" borderId="0" xfId="0" applyNumberFormat="1" applyFont="1" applyAlignment="1">
      <alignment horizontal="center"/>
    </xf>
    <xf numFmtId="0" fontId="8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109" fillId="9" borderId="45" xfId="0" applyFont="1" applyFill="1" applyBorder="1" applyAlignment="1">
      <alignment horizontal="center" vertical="center"/>
    </xf>
    <xf numFmtId="0" fontId="109" fillId="9" borderId="46" xfId="0" applyFont="1" applyFill="1" applyBorder="1" applyAlignment="1">
      <alignment horizontal="center" vertical="center"/>
    </xf>
    <xf numFmtId="0" fontId="109" fillId="9" borderId="48" xfId="0" applyFont="1" applyFill="1" applyBorder="1" applyAlignment="1">
      <alignment horizontal="center" vertical="center"/>
    </xf>
    <xf numFmtId="0" fontId="109" fillId="9" borderId="49" xfId="0" applyFont="1" applyFill="1" applyBorder="1" applyAlignment="1">
      <alignment horizontal="center" vertical="center"/>
    </xf>
    <xf numFmtId="0" fontId="78" fillId="0" borderId="0" xfId="73" applyFont="1" applyAlignment="1">
      <alignment horizontal="center"/>
    </xf>
    <xf numFmtId="173" fontId="78" fillId="0" borderId="0" xfId="73" applyNumberFormat="1" applyFont="1" applyAlignment="1">
      <alignment horizontal="center"/>
    </xf>
    <xf numFmtId="0" fontId="78" fillId="0" borderId="0" xfId="73" applyFont="1" applyAlignment="1">
      <alignment horizontal="center" vertical="center"/>
    </xf>
  </cellXfs>
  <cellStyles count="483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Hipervínculo" xfId="71" builtinId="8"/>
    <cellStyle name="Millares" xfId="4" builtinId="3"/>
    <cellStyle name="Millares 10" xfId="37" xr:uid="{D55D6799-BD76-4726-ACE6-B1A828065071}"/>
    <cellStyle name="Millares 10 2" xfId="58" xr:uid="{4B8F86F0-49DB-499A-A127-7D9750FD6D38}"/>
    <cellStyle name="Millares 10 2 2" xfId="152" xr:uid="{EBD91C5C-B643-4BF6-885B-9C009430A60B}"/>
    <cellStyle name="Millares 10 2 2 2" xfId="377" xr:uid="{1F4752D7-9B48-49BE-8A82-D3FC6BA9D8A0}"/>
    <cellStyle name="Millares 10 2 3" xfId="290" xr:uid="{F9A47754-7197-4F97-BCC0-5A04E32C487A}"/>
    <cellStyle name="Millares 10 3" xfId="134" xr:uid="{0F919B63-34BE-420D-B8DC-98AA51B9DA24}"/>
    <cellStyle name="Millares 10 3 2" xfId="360" xr:uid="{56C79925-17A4-478E-A385-6491E286E736}"/>
    <cellStyle name="Millares 10 4" xfId="273" xr:uid="{57B8340A-B6E2-49D1-B726-CDA8A8798182}"/>
    <cellStyle name="Millares 11" xfId="39" xr:uid="{5B5B509D-9AB8-4DF4-9881-A5AD4E3C9292}"/>
    <cellStyle name="Millares 11 2" xfId="60" xr:uid="{E47AF4B6-51AF-4C58-90E1-485FA4EAD385}"/>
    <cellStyle name="Millares 11 2 2" xfId="154" xr:uid="{7BE4B236-99B1-4C23-8934-4BC5102B3336}"/>
    <cellStyle name="Millares 11 2 2 2" xfId="379" xr:uid="{B7998C9A-E92F-4E37-9312-542B005E0D0F}"/>
    <cellStyle name="Millares 11 2 3" xfId="292" xr:uid="{E0354217-CED4-462A-A43E-FF4684328402}"/>
    <cellStyle name="Millares 11 3" xfId="136" xr:uid="{C00B1B97-E8FF-4E40-8C75-A5CD755D9920}"/>
    <cellStyle name="Millares 11 3 2" xfId="362" xr:uid="{23991C6D-EE7E-4F2B-A33A-2A4A7C601295}"/>
    <cellStyle name="Millares 11 4" xfId="275" xr:uid="{3B6C8E5C-49AE-4869-BF3B-BF7A249A24E6}"/>
    <cellStyle name="Millares 12" xfId="41" xr:uid="{BAEB21BB-AEC4-4D3C-AD60-57CAEB64DB96}"/>
    <cellStyle name="Millares 12 2" xfId="62" xr:uid="{92523BE6-C024-4D2E-9E25-F311D1958EA0}"/>
    <cellStyle name="Millares 12 2 2" xfId="156" xr:uid="{254027C8-FBFB-489F-80E8-E4DF75ACD336}"/>
    <cellStyle name="Millares 12 2 2 2" xfId="381" xr:uid="{D8B62C02-CBA5-4D1B-9E73-CC92088DD240}"/>
    <cellStyle name="Millares 12 2 3" xfId="294" xr:uid="{370E7137-9754-4EEE-BA7D-5BAE9441B80E}"/>
    <cellStyle name="Millares 12 3" xfId="138" xr:uid="{FEB8A313-BC8D-429C-8E85-1968841C771B}"/>
    <cellStyle name="Millares 12 3 2" xfId="364" xr:uid="{7ED9CF7C-A808-4AFD-BA47-E66DBA708E7D}"/>
    <cellStyle name="Millares 12 4" xfId="277" xr:uid="{FA4F1DB2-5F10-4C0D-8A76-0FD6768ADBF7}"/>
    <cellStyle name="Millares 13" xfId="45" xr:uid="{A2BC0D4F-BE36-48E5-B8FE-275FEC761914}"/>
    <cellStyle name="Millares 13 2" xfId="142" xr:uid="{DE4EE5C0-2A72-44B9-B371-40654453E98B}"/>
    <cellStyle name="Millares 13 2 2" xfId="367" xr:uid="{F7708D41-32BF-41FC-B4E9-0B0F75CFAE98}"/>
    <cellStyle name="Millares 13 3" xfId="280" xr:uid="{E9D1B31E-3784-424D-9319-A72E8F82FCB8}"/>
    <cellStyle name="Millares 14" xfId="47" xr:uid="{C434BAC0-B2B3-4518-84FE-EB910D2AFD49}"/>
    <cellStyle name="Millares 15" xfId="66" xr:uid="{8315EAE2-E517-4E66-9A03-1D95CA0D9FCB}"/>
    <cellStyle name="Millares 15 2" xfId="159" xr:uid="{7600F0C0-DD1C-406E-AC33-EF3FBF182E8F}"/>
    <cellStyle name="Millares 15 2 2" xfId="384" xr:uid="{3C36BB76-5C41-4CDA-A823-20BF3717810A}"/>
    <cellStyle name="Millares 15 3" xfId="297" xr:uid="{D4FBDAC7-4A6D-4404-A31D-4313B976A8AC}"/>
    <cellStyle name="Millares 16" xfId="75" xr:uid="{C94D45F6-1FE7-4097-BA72-B395456528B7}"/>
    <cellStyle name="Millares 16 2" xfId="167" xr:uid="{FD9C7C68-D7AF-4335-983D-365E9BB7F550}"/>
    <cellStyle name="Millares 16 2 2" xfId="392" xr:uid="{6EB27896-941D-4D87-B393-AB132B88D6A0}"/>
    <cellStyle name="Millares 16 3" xfId="305" xr:uid="{30C41FB9-9DB8-4FA8-815E-0CF1D69E3E5F}"/>
    <cellStyle name="Millares 17" xfId="80" xr:uid="{C2D5CE2F-F934-41B6-9AB1-94777B34A68A}"/>
    <cellStyle name="Millares 17 2" xfId="172" xr:uid="{74A69B47-F0EC-4AC5-95A7-B0D4BF4033CA}"/>
    <cellStyle name="Millares 17 2 2" xfId="397" xr:uid="{1ACB20D6-815B-4D79-85D3-FC4E8B3574F3}"/>
    <cellStyle name="Millares 17 3" xfId="310" xr:uid="{C5B3D324-21E0-4FB6-B97C-E5B5036189C4}"/>
    <cellStyle name="Millares 18" xfId="82" xr:uid="{90519D43-C2B2-44B4-92EA-156AF5041D5F}"/>
    <cellStyle name="Millares 18 2" xfId="174" xr:uid="{1F849040-051E-4A1E-883B-6A7557FB8582}"/>
    <cellStyle name="Millares 18 2 2" xfId="399" xr:uid="{D433EC9D-B771-459C-8043-715135E728CE}"/>
    <cellStyle name="Millares 18 3" xfId="312" xr:uid="{9ECFF1FD-D050-4A41-AB54-546E133B1776}"/>
    <cellStyle name="Millares 19" xfId="84" xr:uid="{D23D0A56-612B-41F8-8311-1BC3AEC86473}"/>
    <cellStyle name="Millares 19 2" xfId="176" xr:uid="{A8E88110-9B31-4CFA-8BCB-6B8174A8F1B3}"/>
    <cellStyle name="Millares 19 2 2" xfId="401" xr:uid="{184A88FA-C58A-48EF-98F1-13E45D02A37B}"/>
    <cellStyle name="Millares 19 3" xfId="314" xr:uid="{626215F0-A2EE-47E1-9F42-8A5C1D3542E3}"/>
    <cellStyle name="Millares 2" xfId="5" xr:uid="{00000000-0005-0000-0000-000004000000}"/>
    <cellStyle name="Millares 2 2" xfId="6" xr:uid="{00000000-0005-0000-0000-000005000000}"/>
    <cellStyle name="Millares 2 2 2" xfId="48" xr:uid="{3D3F3942-3724-4E47-8FEF-58B8F7600C38}"/>
    <cellStyle name="Millares 2 2 2 2" xfId="143" xr:uid="{DB7ECFE2-5E16-4069-83BD-3093602DDD8F}"/>
    <cellStyle name="Millares 2 2 2 2 2" xfId="368" xr:uid="{255E2757-2302-4676-A6AE-46240DA4944E}"/>
    <cellStyle name="Millares 2 2 2 3" xfId="281" xr:uid="{B1914D4B-382E-44B4-BBBB-E80FA056E6F8}"/>
    <cellStyle name="Millares 2 2 3" xfId="124" xr:uid="{BE7D9A65-E99C-40EE-BB5C-63D05D03A244}"/>
    <cellStyle name="Millares 2 2 3 2" xfId="351" xr:uid="{4DC7AFC5-6D11-4684-8829-00E45D50A757}"/>
    <cellStyle name="Millares 2 2 4" xfId="214" xr:uid="{4C9B0DA0-03AE-4080-BFDD-32E07B0B11FF}"/>
    <cellStyle name="Millares 2 2 4 2" xfId="439" xr:uid="{F5F2AA3A-DA97-4DA4-8905-F267E48E0F80}"/>
    <cellStyle name="Millares 2 2 5" xfId="225" xr:uid="{DA651846-2BCD-48F6-8065-C8C9157A1E2D}"/>
    <cellStyle name="Millares 2 2 5 2" xfId="448" xr:uid="{5902DDCB-2FE0-4578-A4E1-9B782AF49F6D}"/>
    <cellStyle name="Millares 2 2 6" xfId="249" xr:uid="{40EFEC91-817A-4519-B86C-F00DF7958141}"/>
    <cellStyle name="Millares 2 2 6 2" xfId="472" xr:uid="{3E1BB2EA-FCA3-4852-9253-21C9E158AF12}"/>
    <cellStyle name="Millares 2 2 7" xfId="264" xr:uid="{6D3184A5-A71C-4AB4-8684-51E5642CB6D6}"/>
    <cellStyle name="Millares 2 3" xfId="104" xr:uid="{3DCF24F5-E14E-4678-9585-ED34AE5479E2}"/>
    <cellStyle name="Millares 2 3 2" xfId="196" xr:uid="{D4751401-7EAC-4923-BE06-3C70B5704295}"/>
    <cellStyle name="Millares 2 3 2 2" xfId="421" xr:uid="{06B755BC-A44D-43E0-A3BB-D85C4F538D0F}"/>
    <cellStyle name="Millares 2 3 3" xfId="334" xr:uid="{69683FC0-42CB-4A76-A5D6-B6CD70575289}"/>
    <cellStyle name="Millares 20" xfId="89" xr:uid="{32AC816D-2D22-4B3F-B120-5A2F123CE6A3}"/>
    <cellStyle name="Millares 20 2" xfId="181" xr:uid="{ECC50AE6-152F-4941-AFBE-9956338CC09D}"/>
    <cellStyle name="Millares 20 2 2" xfId="406" xr:uid="{C7E63D61-D4F3-4270-87AB-4F9B9AB257A8}"/>
    <cellStyle name="Millares 20 3" xfId="319" xr:uid="{B971F68F-2AC6-4A8E-B854-B8F9A7D54241}"/>
    <cellStyle name="Millares 21" xfId="92" xr:uid="{029046C6-9E24-4CD4-9025-FE3E564C082F}"/>
    <cellStyle name="Millares 21 2" xfId="184" xr:uid="{3BAE1369-3BEB-478E-ADB7-BB3FCFCA69E6}"/>
    <cellStyle name="Millares 21 2 2" xfId="409" xr:uid="{1AE2C91A-629B-434E-A593-69A04FD944C9}"/>
    <cellStyle name="Millares 21 3" xfId="322" xr:uid="{C3EAF68B-7172-42C2-A275-8D9F581E57CE}"/>
    <cellStyle name="Millares 22" xfId="94" xr:uid="{B19C83B2-C254-4128-B5FF-6DEA0DCB56A1}"/>
    <cellStyle name="Millares 22 2" xfId="186" xr:uid="{ECC5D1F0-B13E-48B6-BBE2-7ECFF8F8682F}"/>
    <cellStyle name="Millares 22 2 2" xfId="411" xr:uid="{30478536-8867-498D-972F-4A2707A0B08D}"/>
    <cellStyle name="Millares 22 3" xfId="324" xr:uid="{53BC4A32-492C-4C6B-A9C5-3D29EA63D50B}"/>
    <cellStyle name="Millares 23" xfId="97" xr:uid="{CC0BE51A-DE50-4486-B47A-9582AFCAD003}"/>
    <cellStyle name="Millares 23 2" xfId="189" xr:uid="{6255356B-4769-403F-B758-DB9BBF353AD3}"/>
    <cellStyle name="Millares 23 2 2" xfId="414" xr:uid="{84E6761F-1B28-41B0-8E21-27E5D292F0B6}"/>
    <cellStyle name="Millares 23 3" xfId="327" xr:uid="{AF4BD084-AD41-471C-87EA-7FF028C3AA18}"/>
    <cellStyle name="Millares 24" xfId="99" xr:uid="{D69E24A2-9B29-47B7-BFB5-34D2E9D7B2B0}"/>
    <cellStyle name="Millares 24 2" xfId="191" xr:uid="{4C3F2FD9-5114-4A71-AD9F-51061D3A908B}"/>
    <cellStyle name="Millares 24 2 2" xfId="416" xr:uid="{BAEAC837-F694-480B-82FA-A2A1F5B2F9FA}"/>
    <cellStyle name="Millares 24 3" xfId="329" xr:uid="{B3803DE3-0AA2-4EC2-8EBD-21A4D15D2F9E}"/>
    <cellStyle name="Millares 25" xfId="101" xr:uid="{5F6854C2-801E-4A89-865C-FCACEDA07700}"/>
    <cellStyle name="Millares 25 2" xfId="193" xr:uid="{B431B26D-EE3D-4D8A-B2E1-2EA0FFE1F755}"/>
    <cellStyle name="Millares 25 2 2" xfId="418" xr:uid="{686874F8-57D7-4621-80AC-683F74929814}"/>
    <cellStyle name="Millares 25 3" xfId="331" xr:uid="{B2A3D5EB-63DB-4DD9-B60C-5E4AA96E4D19}"/>
    <cellStyle name="Millares 26" xfId="103" xr:uid="{610A5C84-8C79-46B9-89B4-A85C95CC0A78}"/>
    <cellStyle name="Millares 26 2" xfId="195" xr:uid="{3A99C210-25C9-4EA8-8A5A-9F598F64D323}"/>
    <cellStyle name="Millares 26 2 2" xfId="420" xr:uid="{50F3AD85-C68B-4ECB-88F4-4CD5D475641A}"/>
    <cellStyle name="Millares 26 3" xfId="333" xr:uid="{6C1E1AC4-48FE-4BEC-95B9-0DC6B2762594}"/>
    <cellStyle name="Millares 27" xfId="107" xr:uid="{23B8A0A4-0CA0-4F34-99CB-305484206450}"/>
    <cellStyle name="Millares 27 2" xfId="198" xr:uid="{C7E58F4B-F0D5-4B27-9AB7-5AB891EFC223}"/>
    <cellStyle name="Millares 27 2 2" xfId="423" xr:uid="{ACCAA39E-1F30-4FBA-B7BA-47DB9391C669}"/>
    <cellStyle name="Millares 27 3" xfId="336" xr:uid="{18ECB0B1-CDCC-48C4-A9DC-F087A2B72A5F}"/>
    <cellStyle name="Millares 28" xfId="111" xr:uid="{716665AC-3E85-42C9-BD62-9F4F94638E4B}"/>
    <cellStyle name="Millares 28 2" xfId="202" xr:uid="{5266F5FF-DECE-490A-8FF7-84EA68979F42}"/>
    <cellStyle name="Millares 28 2 2" xfId="427" xr:uid="{1C9AC543-3F15-47BA-9110-CA87DB044FF2}"/>
    <cellStyle name="Millares 28 3" xfId="340" xr:uid="{0C6CE33C-D128-4E7F-83D3-0EEE5F9D0C99}"/>
    <cellStyle name="Millares 29" xfId="114" xr:uid="{1EEF75EA-41A1-43A6-93F5-2A3116F0A5AA}"/>
    <cellStyle name="Millares 29 2" xfId="205" xr:uid="{7B77A57E-C735-47A2-8189-2DCC5CE4DBB1}"/>
    <cellStyle name="Millares 29 2 2" xfId="430" xr:uid="{6084F65C-398D-4FA6-9FD0-DEE4D131F344}"/>
    <cellStyle name="Millares 29 3" xfId="343" xr:uid="{B21FEA1E-68B7-4AFE-AD53-14635880DDDF}"/>
    <cellStyle name="Millares 3" xfId="7" xr:uid="{00000000-0005-0000-0000-000006000000}"/>
    <cellStyle name="Millares 3 2" xfId="8" xr:uid="{00000000-0005-0000-0000-000007000000}"/>
    <cellStyle name="Millares 3 3" xfId="49" xr:uid="{2162B24E-46A6-41C2-9F5E-146B52AC2F23}"/>
    <cellStyle name="Millares 3 3 2" xfId="144" xr:uid="{4BB50F19-8637-4C4A-88FF-EF5E333862C1}"/>
    <cellStyle name="Millares 3 3 2 2" xfId="369" xr:uid="{F887938B-0355-4A41-B278-59CA365BBCD2}"/>
    <cellStyle name="Millares 3 3 3" xfId="282" xr:uid="{4039B1E3-241E-411F-A497-1AB775C54C33}"/>
    <cellStyle name="Millares 3 4" xfId="125" xr:uid="{DC439D84-4F66-48B3-AECB-EF51C89CB0CC}"/>
    <cellStyle name="Millares 3 4 2" xfId="352" xr:uid="{F7125487-5B8A-41B8-B52D-3D16BD82509B}"/>
    <cellStyle name="Millares 3 5" xfId="217" xr:uid="{4E0877CD-05A9-473C-B5EC-D9D69A10158F}"/>
    <cellStyle name="Millares 3 5 2" xfId="440" xr:uid="{763A93C3-8F4F-495E-A749-19BDA85E1717}"/>
    <cellStyle name="Millares 3 6" xfId="226" xr:uid="{2AC1000B-317A-401A-B206-D5FBFC6DF1C6}"/>
    <cellStyle name="Millares 3 6 2" xfId="449" xr:uid="{E517C1BD-1C45-4F0E-9F88-63DACA277B49}"/>
    <cellStyle name="Millares 3 7" xfId="250" xr:uid="{68C88A84-A496-48C7-8C15-296D2C13938C}"/>
    <cellStyle name="Millares 3 7 2" xfId="473" xr:uid="{55EA7214-8D51-43A4-9303-336A72174A35}"/>
    <cellStyle name="Millares 3 8" xfId="265" xr:uid="{8C85AAD8-ED2B-4C85-9396-EE1EDCE06D11}"/>
    <cellStyle name="Millares 30" xfId="116" xr:uid="{C7E1DAE8-9FE7-42A2-B7C5-671C0EB9B84E}"/>
    <cellStyle name="Millares 30 2" xfId="207" xr:uid="{6E878B00-9932-4360-846D-B16AE7C152B2}"/>
    <cellStyle name="Millares 30 2 2" xfId="432" xr:uid="{E4A2D613-8CA4-41EE-9558-7659394167D9}"/>
    <cellStyle name="Millares 30 3" xfId="345" xr:uid="{03A83A1C-4FCC-4227-8854-3752B19408CF}"/>
    <cellStyle name="Millares 31" xfId="119" xr:uid="{BDFD042F-B23D-4184-A08B-EF90A9826A2C}"/>
    <cellStyle name="Millares 31 2" xfId="210" xr:uid="{DF50D96B-AEC5-4C12-87AB-A785EC31EDE0}"/>
    <cellStyle name="Millares 31 2 2" xfId="435" xr:uid="{CDF8F559-617B-4738-9BE3-13C573F7D894}"/>
    <cellStyle name="Millares 31 3" xfId="348" xr:uid="{314B47D6-9488-4BC4-9D42-2F740E97FBC5}"/>
    <cellStyle name="Millares 32" xfId="123" xr:uid="{3A30E84C-3EF0-4F69-B5F3-D8035A3D1B80}"/>
    <cellStyle name="Millares 33" xfId="213" xr:uid="{F5EAD676-EB10-4CCB-A816-8B7F4B661D6A}"/>
    <cellStyle name="Millares 33 2" xfId="438" xr:uid="{24B9071E-22E3-4C4E-B6CD-A1F6EE3C92FF}"/>
    <cellStyle name="Millares 34" xfId="224" xr:uid="{E701C537-04E2-4099-91A3-973FB108F574}"/>
    <cellStyle name="Millares 34 2" xfId="447" xr:uid="{6DE6206C-5C07-4A7D-8E85-28EDACE1FC7E}"/>
    <cellStyle name="Millares 35" xfId="234" xr:uid="{B8B25F57-F4A8-4B9E-8EE3-EA4F93BC496D}"/>
    <cellStyle name="Millares 35 2" xfId="457" xr:uid="{2AE82FB5-48A5-4948-9B50-5CE8B19172E4}"/>
    <cellStyle name="Millares 36" xfId="235" xr:uid="{F07EEC34-F6B5-4080-9EF3-CE4AC2874265}"/>
    <cellStyle name="Millares 36 2" xfId="458" xr:uid="{2D6C8383-99E2-4D7B-AD04-0DC6DADEB63C}"/>
    <cellStyle name="Millares 37" xfId="237" xr:uid="{2A17425C-9209-48A1-B61E-A208BA69AF67}"/>
    <cellStyle name="Millares 37 2" xfId="460" xr:uid="{DFAAC6A3-3C69-42C3-90A8-9F314B79BE53}"/>
    <cellStyle name="Millares 38" xfId="239" xr:uid="{DF55E476-9757-4EB4-88F2-2C7F594C141F}"/>
    <cellStyle name="Millares 38 2" xfId="462" xr:uid="{E8587CB8-D26D-4BC4-BC37-9631FE42132F}"/>
    <cellStyle name="Millares 39" xfId="242" xr:uid="{87E68C88-BED0-4500-8E23-B7DADF66947B}"/>
    <cellStyle name="Millares 39 2" xfId="465" xr:uid="{B612A2B9-E679-47EF-8AB7-A0A1A8A58288}"/>
    <cellStyle name="Millares 4" xfId="9" xr:uid="{00000000-0005-0000-0000-000008000000}"/>
    <cellStyle name="Millares 4 2" xfId="50" xr:uid="{437B2D42-4C88-43BF-8725-9B2E20FF7969}"/>
    <cellStyle name="Millares 4 2 2" xfId="145" xr:uid="{08EB03DD-D035-4C4B-9DBD-166965D5BA8A}"/>
    <cellStyle name="Millares 4 2 2 2" xfId="370" xr:uid="{111B38EA-737E-40F9-B1A0-8409B23381FE}"/>
    <cellStyle name="Millares 4 2 3" xfId="283" xr:uid="{CAE9082B-D010-4101-9F15-4AEE30A83E5F}"/>
    <cellStyle name="Millares 4 3" xfId="126" xr:uid="{D2F683CE-E4DC-44C0-8016-3354E2E495C5}"/>
    <cellStyle name="Millares 4 3 2" xfId="353" xr:uid="{941E626D-5474-493C-849A-82CE3CEC2AEB}"/>
    <cellStyle name="Millares 4 4" xfId="218" xr:uid="{82299CA8-7FA9-45C1-804D-5696104D63DA}"/>
    <cellStyle name="Millares 4 4 2" xfId="441" xr:uid="{08DEEAF0-A3A8-45D0-830A-9A684AEAE80E}"/>
    <cellStyle name="Millares 4 5" xfId="227" xr:uid="{9D58F37B-11B7-42B4-980D-15C036C9DE8A}"/>
    <cellStyle name="Millares 4 5 2" xfId="450" xr:uid="{860F97CD-6FFE-494A-BA25-114B968A890E}"/>
    <cellStyle name="Millares 4 6" xfId="251" xr:uid="{850BB167-C995-4DB6-8D2F-D50F83AA21C0}"/>
    <cellStyle name="Millares 4 6 2" xfId="474" xr:uid="{04B8AC2E-3DEE-43A9-A68C-20E738154C20}"/>
    <cellStyle name="Millares 4 7" xfId="266" xr:uid="{05B99909-3B7D-472A-BA71-7352611C71A2}"/>
    <cellStyle name="Millares 40" xfId="245" xr:uid="{DE17601E-7DDE-4C83-85B2-8C802C5CF2BD}"/>
    <cellStyle name="Millares 40 2" xfId="468" xr:uid="{FB29F9FB-35E8-4FF6-ABC9-D2CA5DC25015}"/>
    <cellStyle name="Millares 41" xfId="248" xr:uid="{26484287-BB86-4278-898C-B989A1CE92CE}"/>
    <cellStyle name="Millares 41 2" xfId="471" xr:uid="{30FC1E29-BBCF-4CF0-88F1-12259A642370}"/>
    <cellStyle name="Millares 42" xfId="257" xr:uid="{3324A468-C513-4002-8920-94C721933FB4}"/>
    <cellStyle name="Millares 42 2" xfId="480" xr:uid="{282E937E-FA4E-4FCD-B6F9-7D83E2943842}"/>
    <cellStyle name="Millares 43" xfId="259" xr:uid="{A032A69D-7B1B-45D7-BC63-DCCC42585AAA}"/>
    <cellStyle name="Millares 43 2" xfId="482" xr:uid="{1134A656-50A7-42ED-975E-2A70F1AAA856}"/>
    <cellStyle name="Millares 44" xfId="263" xr:uid="{6080ADC6-A5B6-47C7-AB0D-E2FF86D9E80D}"/>
    <cellStyle name="Millares 5" xfId="10" xr:uid="{00000000-0005-0000-0000-000009000000}"/>
    <cellStyle name="Millares 6" xfId="11" xr:uid="{00000000-0005-0000-0000-00000A000000}"/>
    <cellStyle name="Millares 7" xfId="12" xr:uid="{00000000-0005-0000-0000-00000B000000}"/>
    <cellStyle name="Millares 8" xfId="13" xr:uid="{00000000-0005-0000-0000-00000C000000}"/>
    <cellStyle name="Millares 9" xfId="35" xr:uid="{3941AF9B-A336-4620-AF81-8C657CC57506}"/>
    <cellStyle name="Millares 9 2" xfId="56" xr:uid="{3C4EBC09-3968-4A32-91F4-6A964129F84B}"/>
    <cellStyle name="Millares 9 2 2" xfId="150" xr:uid="{36216394-05E9-4C53-BFBA-0CE7FC2807E5}"/>
    <cellStyle name="Millares 9 2 2 2" xfId="375" xr:uid="{157900CA-5E1A-47B7-AEAD-FF0E14257E49}"/>
    <cellStyle name="Millares 9 2 3" xfId="288" xr:uid="{45C94D45-8205-4B13-B6B8-7852D633F9D3}"/>
    <cellStyle name="Millares 9 3" xfId="132" xr:uid="{16363AA7-E54E-433D-B288-E32BFB8E1846}"/>
    <cellStyle name="Millares 9 3 2" xfId="358" xr:uid="{0419F58B-BB63-4D41-8C12-8B4E6F86BAC1}"/>
    <cellStyle name="Millares 9 4" xfId="216" xr:uid="{02BE67DD-67DF-4719-B469-FA132FECC560}"/>
    <cellStyle name="Millares 9 5" xfId="271" xr:uid="{8CAA5922-8B0B-4224-B751-FB28334B6711}"/>
    <cellStyle name="Neutral" xfId="14" builtinId="28" customBuiltin="1"/>
    <cellStyle name="Neutral 2" xfId="15" xr:uid="{00000000-0005-0000-0000-00000E000000}"/>
    <cellStyle name="Neutral 3" xfId="16" xr:uid="{00000000-0005-0000-0000-00000F000000}"/>
    <cellStyle name="Neutral 4" xfId="17" xr:uid="{00000000-0005-0000-0000-000010000000}"/>
    <cellStyle name="Neutral 5" xfId="51" xr:uid="{D50E872E-0A51-45F8-8951-AE33D4734264}"/>
    <cellStyle name="Neutral 6" xfId="127" xr:uid="{F416B69E-0283-46C3-8B75-0600DDB5CFC4}"/>
    <cellStyle name="Normal" xfId="0" builtinId="0"/>
    <cellStyle name="Normal 10" xfId="34" xr:uid="{E04F89B1-EF61-4914-BE1D-A1E329EE39E7}"/>
    <cellStyle name="Normal 10 2" xfId="55" xr:uid="{31BCE0C6-972A-4667-9990-B6DD85AF5F9E}"/>
    <cellStyle name="Normal 10 2 2" xfId="149" xr:uid="{8C3FA9D2-C91A-4A1B-A942-1CF014C0AC54}"/>
    <cellStyle name="Normal 10 2 2 2" xfId="374" xr:uid="{5088ED76-B81D-4789-82A8-D0D633C030AF}"/>
    <cellStyle name="Normal 10 2 3" xfId="287" xr:uid="{5B17BF70-3DAE-423F-BBD6-957440D8CD12}"/>
    <cellStyle name="Normal 10 3" xfId="131" xr:uid="{C841890C-5670-41B5-887E-36829305194F}"/>
    <cellStyle name="Normal 10 3 2" xfId="357" xr:uid="{8E6F4636-2C12-49B6-B6C5-2D862DEA1CFF}"/>
    <cellStyle name="Normal 10 4" xfId="215" xr:uid="{C5AD5E60-8807-49DE-AA9D-51BCB3CCB1B8}"/>
    <cellStyle name="Normal 10 5" xfId="270" xr:uid="{F94C5534-9224-4958-B560-272F027E66E0}"/>
    <cellStyle name="Normal 11" xfId="36" xr:uid="{EDB1C418-3321-4737-AC24-AF2AE5DB851E}"/>
    <cellStyle name="Normal 11 2" xfId="57" xr:uid="{ABF60EF6-76F1-4CE3-920E-B0175DBB6D30}"/>
    <cellStyle name="Normal 11 2 2" xfId="151" xr:uid="{8B4E2DCC-09EA-4311-9D4B-9CF42CA8EDDF}"/>
    <cellStyle name="Normal 11 2 2 2" xfId="376" xr:uid="{068E825C-0370-4AA5-AD91-7DFF69CC01A9}"/>
    <cellStyle name="Normal 11 2 3" xfId="289" xr:uid="{3FF6AA71-74E7-466B-89BE-859C99D43100}"/>
    <cellStyle name="Normal 11 3" xfId="133" xr:uid="{0252620A-8759-4134-905D-03E34C484A4B}"/>
    <cellStyle name="Normal 11 3 2" xfId="359" xr:uid="{0F060638-1211-4D03-A7E0-D92B8D2E25DF}"/>
    <cellStyle name="Normal 11 4" xfId="272" xr:uid="{07101EFD-8CDF-40C0-868C-AA1D9D1924F9}"/>
    <cellStyle name="Normal 12" xfId="38" xr:uid="{6474D8C7-2DE9-49EB-82E3-C4D36D311CBE}"/>
    <cellStyle name="Normal 12 2" xfId="59" xr:uid="{B39D459C-660D-4F5A-9CCF-1B574A7D9334}"/>
    <cellStyle name="Normal 12 2 2" xfId="153" xr:uid="{84F74D6A-A1B8-4FAB-83EE-3B460777FFC5}"/>
    <cellStyle name="Normal 12 2 2 2" xfId="378" xr:uid="{B8959911-D366-48E6-A9AB-41F4A6A6DF58}"/>
    <cellStyle name="Normal 12 2 3" xfId="291" xr:uid="{7069AAE1-022E-466E-B987-3BA6BD26287A}"/>
    <cellStyle name="Normal 12 3" xfId="135" xr:uid="{46ACFF06-3EB9-4367-857C-4F24505FAD5F}"/>
    <cellStyle name="Normal 12 3 2" xfId="361" xr:uid="{9DCB251C-897F-42C8-A22B-F817125E61DE}"/>
    <cellStyle name="Normal 12 4" xfId="274" xr:uid="{EB850585-119C-4144-9558-A280A03B8B59}"/>
    <cellStyle name="Normal 13" xfId="40" xr:uid="{1E46AC84-C99B-4EA2-A02F-EF8081FE2A6C}"/>
    <cellStyle name="Normal 13 2" xfId="61" xr:uid="{980C3498-99E5-4F3F-B153-D8B4E7EAE751}"/>
    <cellStyle name="Normal 13 2 2" xfId="155" xr:uid="{FFAB2655-9353-4753-9CD4-80F34790BA0B}"/>
    <cellStyle name="Normal 13 2 2 2" xfId="380" xr:uid="{7BA171BB-27CB-437A-A30F-E697C4EEA82C}"/>
    <cellStyle name="Normal 13 2 3" xfId="293" xr:uid="{05266B7C-D2E9-4C10-9C8B-4A8D5E927261}"/>
    <cellStyle name="Normal 13 3" xfId="137" xr:uid="{93C40290-4F7C-4469-A46E-9DC18E01351C}"/>
    <cellStyle name="Normal 13 3 2" xfId="363" xr:uid="{BABBA5D8-8072-4767-9EBD-97CF8CB35659}"/>
    <cellStyle name="Normal 13 4" xfId="276" xr:uid="{B1E36859-DF54-4B4D-8C85-DB9D4299FDEF}"/>
    <cellStyle name="Normal 14" xfId="42" xr:uid="{0CFDF507-0FDD-48B5-BC4C-838E0110546E}"/>
    <cellStyle name="Normal 14 2" xfId="63" xr:uid="{18FC5DC5-5304-4BA6-A817-CB2AA992D259}"/>
    <cellStyle name="Normal 14 2 2" xfId="157" xr:uid="{B4DAE556-D7F7-4C78-82C9-738A8BB01013}"/>
    <cellStyle name="Normal 14 2 2 2" xfId="382" xr:uid="{C0339F27-338E-4B1B-A1C8-84D4C0CADCFA}"/>
    <cellStyle name="Normal 14 2 3" xfId="295" xr:uid="{C9FCAFBF-05F7-41AB-9775-944E89BF9100}"/>
    <cellStyle name="Normal 14 3" xfId="139" xr:uid="{43A2D6AC-91A3-4AA1-A558-7A9857B0C9E9}"/>
    <cellStyle name="Normal 14 3 2" xfId="365" xr:uid="{8BF69938-3240-4E44-8EAC-F4547325BE35}"/>
    <cellStyle name="Normal 14 4" xfId="278" xr:uid="{0847DDA8-AE81-4301-AB45-758548F62545}"/>
    <cellStyle name="Normal 15" xfId="44" xr:uid="{A0636C0B-2857-4AAB-A8CE-C0860B85E462}"/>
    <cellStyle name="Normal 15 2" xfId="141" xr:uid="{BA0E7371-F158-423A-9A00-99148BBBAF12}"/>
    <cellStyle name="Normal 15 2 2" xfId="366" xr:uid="{79766D68-CB76-4206-9709-B18283724AEA}"/>
    <cellStyle name="Normal 15 3" xfId="279" xr:uid="{C04B1E4C-9BD9-4EAE-ADEB-071AB9DA0CF7}"/>
    <cellStyle name="Normal 16" xfId="46" xr:uid="{1F52BDE2-3493-4F96-BBE2-BE15ECA121ED}"/>
    <cellStyle name="Normal 17" xfId="65" xr:uid="{38455323-2778-4DD5-B70E-091ABDBA667A}"/>
    <cellStyle name="Normal 17 2" xfId="158" xr:uid="{BB4E60C7-FC61-46FB-9C5D-FD70AC235F89}"/>
    <cellStyle name="Normal 17 2 2" xfId="383" xr:uid="{FAECF1D3-6B91-4680-9016-5EE99786ED3C}"/>
    <cellStyle name="Normal 17 3" xfId="296" xr:uid="{011710E5-C442-4945-94F0-C2D950E0B3C5}"/>
    <cellStyle name="Normal 18" xfId="67" xr:uid="{A3D0F39C-7CD5-43D5-AE02-F71CBA12128D}"/>
    <cellStyle name="Normal 18 2" xfId="160" xr:uid="{E8F2B643-DC0D-4B0F-A1A3-898E392B8982}"/>
    <cellStyle name="Normal 18 2 2" xfId="385" xr:uid="{49C993E3-2ABC-43C9-9873-3CB22B128EE5}"/>
    <cellStyle name="Normal 18 3" xfId="298" xr:uid="{CEB26056-E39E-48D8-BB10-D35BD9488374}"/>
    <cellStyle name="Normal 19" xfId="68" xr:uid="{722C0F25-6439-46AA-8C11-7AAC6575BF45}"/>
    <cellStyle name="Normal 19 2" xfId="161" xr:uid="{9F90EEB8-4FFA-42D9-945B-894D5018B6BE}"/>
    <cellStyle name="Normal 19 2 2" xfId="386" xr:uid="{56791305-4A55-4124-81A9-A5B14888ABAE}"/>
    <cellStyle name="Normal 19 3" xfId="299" xr:uid="{07F47D07-7BD6-4644-9B5F-D3BF867EFAC7}"/>
    <cellStyle name="Normal 2" xfId="18" xr:uid="{00000000-0005-0000-0000-000012000000}"/>
    <cellStyle name="Normal 2 2" xfId="19" xr:uid="{00000000-0005-0000-0000-000013000000}"/>
    <cellStyle name="Normal 2 3" xfId="52" xr:uid="{25F5EF07-2880-40AF-8031-4324C2E75C6D}"/>
    <cellStyle name="Normal 2 3 2" xfId="146" xr:uid="{C297A495-53D3-4097-8323-6CE46CF8B9A6}"/>
    <cellStyle name="Normal 2 3 2 2" xfId="371" xr:uid="{AEBE4124-D01B-41BD-AECF-4D3CD76D635C}"/>
    <cellStyle name="Normal 2 3 3" xfId="284" xr:uid="{DFEADF06-9C19-4610-AC4F-65460B3929B8}"/>
    <cellStyle name="Normal 2 4" xfId="128" xr:uid="{BBFA0791-0F8B-46CA-9105-7243B9152CDC}"/>
    <cellStyle name="Normal 2 4 2" xfId="354" xr:uid="{2497B200-9807-473E-8A6E-47D3A72A3504}"/>
    <cellStyle name="Normal 2 5" xfId="219" xr:uid="{0F34F3D7-0BBA-46B4-9E1B-5F2885A27E46}"/>
    <cellStyle name="Normal 2 5 2" xfId="442" xr:uid="{F72BBF29-DA20-4B93-B0CD-51EF8A878214}"/>
    <cellStyle name="Normal 2 6" xfId="228" xr:uid="{1500CC18-DF48-4907-8E63-B082A8345953}"/>
    <cellStyle name="Normal 2 6 2" xfId="451" xr:uid="{399F892C-B00D-4EE2-A99A-8C534FCFF516}"/>
    <cellStyle name="Normal 2 7" xfId="252" xr:uid="{49058663-2D95-4565-A75E-4FEEE1162A84}"/>
    <cellStyle name="Normal 2 7 2" xfId="475" xr:uid="{611312C3-CA2F-4CD1-B016-9A5231E468A7}"/>
    <cellStyle name="Normal 2 8" xfId="267" xr:uid="{6F0CF7DB-4456-4F7B-B270-45DB6E29367B}"/>
    <cellStyle name="Normal 20" xfId="69" xr:uid="{0A3EA1A7-17CE-4475-ABA9-1EC22DEC391E}"/>
    <cellStyle name="Normal 20 2" xfId="162" xr:uid="{D2EAAE7A-6DB6-4DBE-A4C7-964BE6911E02}"/>
    <cellStyle name="Normal 20 2 2" xfId="387" xr:uid="{0C4D97B0-8A7E-47A8-B23A-236A1AF58864}"/>
    <cellStyle name="Normal 20 3" xfId="300" xr:uid="{5F4404F5-8380-4579-B631-3D902D9C6784}"/>
    <cellStyle name="Normal 21" xfId="70" xr:uid="{D7D0A16A-D249-4DF2-914B-FCA6C7BF012C}"/>
    <cellStyle name="Normal 21 2" xfId="163" xr:uid="{D0AF6B44-5394-4057-A741-A5A626511394}"/>
    <cellStyle name="Normal 21 2 2" xfId="388" xr:uid="{8E3A2E00-A300-4222-9148-C30409502DF5}"/>
    <cellStyle name="Normal 21 3" xfId="301" xr:uid="{5B78E889-F353-4A55-9567-566A84AEC01E}"/>
    <cellStyle name="Normal 22" xfId="72" xr:uid="{69E254AD-17B2-4EDB-B4CB-4D5C4AD004E9}"/>
    <cellStyle name="Normal 22 2" xfId="164" xr:uid="{22192C67-BCB0-44D1-BFA6-C2906B156C6E}"/>
    <cellStyle name="Normal 22 2 2" xfId="389" xr:uid="{2371854A-5C99-45A9-AB50-62F096381909}"/>
    <cellStyle name="Normal 22 3" xfId="302" xr:uid="{2B7C81AE-89A8-4088-B828-A637A8106EEF}"/>
    <cellStyle name="Normal 23" xfId="73" xr:uid="{02E882ED-F88D-4E72-9581-5A9200992F0F}"/>
    <cellStyle name="Normal 23 2" xfId="165" xr:uid="{8D913D05-C597-42D2-8A90-F422FCDEC2ED}"/>
    <cellStyle name="Normal 23 2 2" xfId="390" xr:uid="{C0743819-AADD-4758-B560-EAEAC7FFBE0C}"/>
    <cellStyle name="Normal 23 3" xfId="303" xr:uid="{3CAB6EA9-232D-4A5D-ABC4-C60F2EAC2E08}"/>
    <cellStyle name="Normal 24" xfId="74" xr:uid="{8386891C-F52F-4869-A770-8B835B4D1B16}"/>
    <cellStyle name="Normal 24 2" xfId="166" xr:uid="{96F24855-8137-429D-A022-ED6DD5B075CE}"/>
    <cellStyle name="Normal 24 2 2" xfId="391" xr:uid="{B6BD531E-2829-4F47-A48A-D825C05463EA}"/>
    <cellStyle name="Normal 24 3" xfId="304" xr:uid="{D995D1D2-2FC9-4772-9125-5994BD48CAB2}"/>
    <cellStyle name="Normal 25" xfId="76" xr:uid="{92FF0303-4385-4E5D-AE26-32251776F3A4}"/>
    <cellStyle name="Normal 25 2" xfId="168" xr:uid="{9A603830-FF5F-4F93-8B66-79021BE6B459}"/>
    <cellStyle name="Normal 25 2 2" xfId="393" xr:uid="{23DCC951-0840-442D-AF14-ABA324B63CCB}"/>
    <cellStyle name="Normal 25 3" xfId="306" xr:uid="{4CB0FCF9-1688-4989-9A38-F1D943660D37}"/>
    <cellStyle name="Normal 26" xfId="77" xr:uid="{2D57C5A9-25B9-443B-BA72-CD910F4A207A}"/>
    <cellStyle name="Normal 26 2" xfId="169" xr:uid="{0D06CCE1-E0F5-4035-8114-12B7A6FB0C6E}"/>
    <cellStyle name="Normal 26 2 2" xfId="394" xr:uid="{AAFCA715-D9D1-4BF0-9F0B-0731E58A728D}"/>
    <cellStyle name="Normal 26 3" xfId="307" xr:uid="{ACE93CC2-58B0-45AE-B629-86ED11D4A509}"/>
    <cellStyle name="Normal 27" xfId="78" xr:uid="{91279FDA-5433-41C2-93E4-0474D4606355}"/>
    <cellStyle name="Normal 27 2" xfId="170" xr:uid="{458CCB5E-8361-4DF4-8F53-F8E4BA502F9D}"/>
    <cellStyle name="Normal 27 2 2" xfId="395" xr:uid="{E07180DB-DB1F-43B9-94B6-BFABDC48A587}"/>
    <cellStyle name="Normal 27 3" xfId="308" xr:uid="{B2A1BD33-5AF5-458D-BE4C-0737D1C65194}"/>
    <cellStyle name="Normal 28" xfId="79" xr:uid="{68164A4A-D04E-4667-B4B4-078940DE8E98}"/>
    <cellStyle name="Normal 28 2" xfId="171" xr:uid="{35FD2C55-7A1B-4413-838C-A82C4ED77E54}"/>
    <cellStyle name="Normal 28 2 2" xfId="396" xr:uid="{20D6A4A1-7E18-4F54-A775-D4E9A873AF95}"/>
    <cellStyle name="Normal 28 3" xfId="309" xr:uid="{8177A5B6-5359-49BE-9DCA-54F6344E3649}"/>
    <cellStyle name="Normal 29" xfId="81" xr:uid="{6026E065-E7F9-4C95-9CC2-456E0C3874E4}"/>
    <cellStyle name="Normal 29 2" xfId="173" xr:uid="{C2AAC111-DC92-4456-85B5-78D4170CAFE9}"/>
    <cellStyle name="Normal 29 2 2" xfId="398" xr:uid="{A7BD811D-AFA2-46B2-9C1F-511EC9F6B705}"/>
    <cellStyle name="Normal 29 3" xfId="311" xr:uid="{5DE4E5C3-0C1E-4884-9348-84F6FEE53006}"/>
    <cellStyle name="Normal 3" xfId="20" xr:uid="{00000000-0005-0000-0000-000014000000}"/>
    <cellStyle name="Normal 3 2" xfId="21" xr:uid="{00000000-0005-0000-0000-000015000000}"/>
    <cellStyle name="Normal 30" xfId="83" xr:uid="{B2A23DC0-2BE1-4825-855E-7232814C84AB}"/>
    <cellStyle name="Normal 30 2" xfId="175" xr:uid="{0DFD1FDF-67AB-427C-9867-610DA3153C7C}"/>
    <cellStyle name="Normal 30 2 2" xfId="400" xr:uid="{A9CE6E12-96E5-4DCC-A647-7A26C6FAFA9B}"/>
    <cellStyle name="Normal 30 3" xfId="313" xr:uid="{7D47D457-B6F6-4B90-8384-FB1773F9CC81}"/>
    <cellStyle name="Normal 31" xfId="85" xr:uid="{4A1A3462-277F-4DF6-9BBE-0E60A1466CFB}"/>
    <cellStyle name="Normal 31 2" xfId="177" xr:uid="{2D19E9B0-E57E-463B-A233-10A8C3302B8C}"/>
    <cellStyle name="Normal 31 2 2" xfId="402" xr:uid="{A11EDA67-AA8E-42AA-A8D3-8CFB5EB5E46E}"/>
    <cellStyle name="Normal 31 3" xfId="315" xr:uid="{474A9AB4-66B6-40FB-B055-7325CF5E8BD6}"/>
    <cellStyle name="Normal 32" xfId="86" xr:uid="{503FCC98-F518-4BD9-AED2-608C30B091E7}"/>
    <cellStyle name="Normal 32 2" xfId="178" xr:uid="{1979415B-3F93-4F58-870E-DADD114B4008}"/>
    <cellStyle name="Normal 32 2 2" xfId="403" xr:uid="{CA014F78-E97C-4971-9DDD-446B72B7543E}"/>
    <cellStyle name="Normal 32 3" xfId="316" xr:uid="{0EEBD6C7-C709-4B8D-82B1-F4805023567D}"/>
    <cellStyle name="Normal 33" xfId="87" xr:uid="{6EA8695C-63B1-4B22-A082-F5B8A22DBB5C}"/>
    <cellStyle name="Normal 33 2" xfId="179" xr:uid="{54C05449-4894-4BF9-9A21-131E52D14036}"/>
    <cellStyle name="Normal 33 2 2" xfId="404" xr:uid="{58092700-7CCD-49EE-ACF1-6BE48865EB71}"/>
    <cellStyle name="Normal 33 3" xfId="317" xr:uid="{9145AB94-DBC6-48D2-B6B6-D1AE35654F78}"/>
    <cellStyle name="Normal 34" xfId="88" xr:uid="{E2E5EE60-DB31-4290-AE8B-EC5DB86E2DE8}"/>
    <cellStyle name="Normal 34 2" xfId="180" xr:uid="{2C046E18-866A-4D97-A810-61EC4087FBFB}"/>
    <cellStyle name="Normal 34 2 2" xfId="405" xr:uid="{10368292-C1A7-49A8-94EF-DB4E71B485D3}"/>
    <cellStyle name="Normal 34 3" xfId="318" xr:uid="{F53BF1C8-80BE-49D6-83B6-908724FF2C9A}"/>
    <cellStyle name="Normal 35" xfId="90" xr:uid="{729209BA-35F8-446F-A2D1-0AE9AEF0BCF5}"/>
    <cellStyle name="Normal 35 2" xfId="182" xr:uid="{61718FFB-E5A5-4974-A8EB-2EC14F2F420E}"/>
    <cellStyle name="Normal 35 2 2" xfId="407" xr:uid="{5AA6C0F5-746C-4A9A-9319-1B2198E422CE}"/>
    <cellStyle name="Normal 35 3" xfId="320" xr:uid="{1CB8AA08-DFDE-4FEA-B962-264A577E3FE4}"/>
    <cellStyle name="Normal 36" xfId="91" xr:uid="{031C6E6E-778B-445C-B89E-90D9FAF085BF}"/>
    <cellStyle name="Normal 36 2" xfId="183" xr:uid="{F4FB4CBE-B837-4A72-8455-21C683AA5BE5}"/>
    <cellStyle name="Normal 36 2 2" xfId="408" xr:uid="{D98D7B31-1E8D-4C1E-9277-BD83BF2D3743}"/>
    <cellStyle name="Normal 36 3" xfId="321" xr:uid="{82FBD739-A154-4EAB-BDE3-D36EFD139832}"/>
    <cellStyle name="Normal 37" xfId="93" xr:uid="{B59A7B26-31F7-4E1C-9E0E-18D4F41BC1B6}"/>
    <cellStyle name="Normal 37 2" xfId="185" xr:uid="{BF141F02-85A7-4D43-93F2-164BF30BD47A}"/>
    <cellStyle name="Normal 37 2 2" xfId="410" xr:uid="{1085A1A8-06A0-4476-8187-186242EB7162}"/>
    <cellStyle name="Normal 37 3" xfId="323" xr:uid="{B823164B-D42A-44C4-9525-749AFDA4A078}"/>
    <cellStyle name="Normal 38" xfId="95" xr:uid="{3A9D785D-F97E-4FD7-B11B-B6DC1E1C7132}"/>
    <cellStyle name="Normal 38 2" xfId="187" xr:uid="{6E7DA4D6-F24C-41B4-A365-91BD8BA2733B}"/>
    <cellStyle name="Normal 38 2 2" xfId="412" xr:uid="{4BFEB33F-B896-4A81-944E-5854D83303AE}"/>
    <cellStyle name="Normal 38 3" xfId="325" xr:uid="{7CE2DD9B-58A2-4F40-800E-71EB2C9C2740}"/>
    <cellStyle name="Normal 39" xfId="96" xr:uid="{AF4E2B33-5F45-42A9-8363-E693C4492C9A}"/>
    <cellStyle name="Normal 39 2" xfId="188" xr:uid="{354DDB7D-959F-4733-A762-9B61F61EB1D7}"/>
    <cellStyle name="Normal 39 2 2" xfId="413" xr:uid="{70A9BBBB-BD80-4170-AD37-9151A48915D9}"/>
    <cellStyle name="Normal 39 3" xfId="326" xr:uid="{B51FFE0B-1431-42E6-A88C-BD61A5DADBA5}"/>
    <cellStyle name="Normal 4" xfId="22" xr:uid="{00000000-0005-0000-0000-000016000000}"/>
    <cellStyle name="Normal 4 2" xfId="105" xr:uid="{F83DAAC9-335F-4B15-A9EE-11C1BA141C52}"/>
    <cellStyle name="Normal 40" xfId="98" xr:uid="{06413C40-90DB-43DD-BFFE-BE565C770A60}"/>
    <cellStyle name="Normal 40 2" xfId="190" xr:uid="{78A8F82F-4685-4A66-BDA5-747646E0FE95}"/>
    <cellStyle name="Normal 40 2 2" xfId="415" xr:uid="{2508746B-943D-40FB-A39E-4EC1C8F5935B}"/>
    <cellStyle name="Normal 40 3" xfId="328" xr:uid="{9DD1E693-6689-449F-B0B4-AC5AC7883302}"/>
    <cellStyle name="Normal 41" xfId="100" xr:uid="{91F0F732-DB2A-469E-BAA1-E0A229B5C1F6}"/>
    <cellStyle name="Normal 41 2" xfId="192" xr:uid="{5367D1C6-FD60-4209-ACBE-2B83CB8DFD51}"/>
    <cellStyle name="Normal 41 2 2" xfId="417" xr:uid="{182C1E53-7087-44F6-912C-D4F4D3302203}"/>
    <cellStyle name="Normal 41 3" xfId="330" xr:uid="{D55D6693-809B-485B-91A2-5CB788F67558}"/>
    <cellStyle name="Normal 42" xfId="102" xr:uid="{E947A599-837B-4EAD-87AD-778208F24390}"/>
    <cellStyle name="Normal 42 2" xfId="194" xr:uid="{7329A99E-7A1F-457D-86C8-BB9C38C60BED}"/>
    <cellStyle name="Normal 42 2 2" xfId="419" xr:uid="{DE39D1F1-E913-4534-A91E-CDADFDFC4EC9}"/>
    <cellStyle name="Normal 42 3" xfId="332" xr:uid="{32F0FC46-ACFF-4FFA-BED2-77DFB4EDBC86}"/>
    <cellStyle name="Normal 43" xfId="106" xr:uid="{4DE510E4-C649-4BF7-BA27-E2197C4CEE53}"/>
    <cellStyle name="Normal 43 2" xfId="197" xr:uid="{E5F0546B-9F28-426C-BF94-5443F600B114}"/>
    <cellStyle name="Normal 43 2 2" xfId="422" xr:uid="{66D3C8DA-3C45-4D77-835B-C493D34DA5FB}"/>
    <cellStyle name="Normal 43 3" xfId="335" xr:uid="{EDE9DEB2-EBA3-410E-9132-4932C6972B75}"/>
    <cellStyle name="Normal 44" xfId="108" xr:uid="{7CB1A869-2049-4CDF-BE9A-C43B7E6D4DE0}"/>
    <cellStyle name="Normal 44 2" xfId="199" xr:uid="{355FACCE-7864-48DB-8DDE-3A5E02C768A6}"/>
    <cellStyle name="Normal 44 2 2" xfId="424" xr:uid="{E32C26D9-4801-4EC5-A8BF-3FE541F3E3EE}"/>
    <cellStyle name="Normal 44 3" xfId="337" xr:uid="{9E66168D-F355-4E15-8826-98F4BC24894F}"/>
    <cellStyle name="Normal 45" xfId="109" xr:uid="{93F21555-EFB3-4302-9244-D9E0E498DF36}"/>
    <cellStyle name="Normal 45 2" xfId="200" xr:uid="{7EB1825C-8121-4776-B8D8-E68AC8EEEBDA}"/>
    <cellStyle name="Normal 45 2 2" xfId="425" xr:uid="{7874EF9B-9E30-47AE-AEE9-E0DA39A2E6BA}"/>
    <cellStyle name="Normal 45 3" xfId="338" xr:uid="{959B2493-ED16-4E69-99CA-D7EB7B46628D}"/>
    <cellStyle name="Normal 46" xfId="110" xr:uid="{102AEE49-68F6-4F47-916F-C71F61229F42}"/>
    <cellStyle name="Normal 46 2" xfId="201" xr:uid="{0AD77299-2167-4902-841D-1E482A6DF76F}"/>
    <cellStyle name="Normal 46 2 2" xfId="426" xr:uid="{CE8C786E-F3A6-4689-BCA8-C57656827C3D}"/>
    <cellStyle name="Normal 46 3" xfId="339" xr:uid="{828E8CF3-0A2D-467C-855F-3F99BE04EF23}"/>
    <cellStyle name="Normal 47" xfId="112" xr:uid="{7C2CC7F7-1F72-4338-8FF3-1A5129B58AB6}"/>
    <cellStyle name="Normal 47 2" xfId="203" xr:uid="{64D1B10B-1737-4385-8140-E0687AAE311B}"/>
    <cellStyle name="Normal 47 2 2" xfId="428" xr:uid="{4C0E1D88-D99F-4269-B7DF-2208AC10C7AA}"/>
    <cellStyle name="Normal 47 3" xfId="341" xr:uid="{52C6C36C-15B4-4475-A2E6-BAA3D990D5B0}"/>
    <cellStyle name="Normal 48" xfId="113" xr:uid="{6E86CE84-A453-48C6-8A02-9F931393F417}"/>
    <cellStyle name="Normal 48 2" xfId="204" xr:uid="{55B779CF-6674-4D1B-8251-6A2C3EEB1A00}"/>
    <cellStyle name="Normal 48 2 2" xfId="429" xr:uid="{3E39AB34-45C3-41DA-ADD4-C4DC9F80BB76}"/>
    <cellStyle name="Normal 48 3" xfId="342" xr:uid="{84BC0F02-2E33-4D11-BCEF-CC2F71BCD06A}"/>
    <cellStyle name="Normal 49" xfId="115" xr:uid="{00B18183-3E71-4CBD-929A-2FAA1643D14E}"/>
    <cellStyle name="Normal 49 2" xfId="206" xr:uid="{B394B30F-FB5B-4EEB-8146-0F5BC21A98DA}"/>
    <cellStyle name="Normal 49 2 2" xfId="431" xr:uid="{24EFD280-BD27-487F-BA70-4E8944D2D574}"/>
    <cellStyle name="Normal 49 3" xfId="344" xr:uid="{3BF5A072-A631-49CC-8B06-A4918D4641C0}"/>
    <cellStyle name="Normal 5" xfId="23" xr:uid="{00000000-0005-0000-0000-000017000000}"/>
    <cellStyle name="Normal 50" xfId="117" xr:uid="{4FD3C820-C82B-479A-83AA-249BC019411A}"/>
    <cellStyle name="Normal 50 2" xfId="208" xr:uid="{39AD08C7-01AA-4A26-B967-1D9C9935F767}"/>
    <cellStyle name="Normal 50 2 2" xfId="433" xr:uid="{1F8AFC75-7374-4576-81D6-CDA304EDFD04}"/>
    <cellStyle name="Normal 50 3" xfId="346" xr:uid="{2F2C009F-D580-4898-AEDD-AC59F56042E2}"/>
    <cellStyle name="Normal 51" xfId="118" xr:uid="{C6B8CB16-6B83-42C5-A4F5-3D6B6672D8F0}"/>
    <cellStyle name="Normal 51 2" xfId="209" xr:uid="{00651E05-4F0E-4103-AF65-09205B922FC8}"/>
    <cellStyle name="Normal 51 2 2" xfId="434" xr:uid="{D17D406B-5739-43FE-B8A8-2D8F23C3778D}"/>
    <cellStyle name="Normal 51 3" xfId="347" xr:uid="{CBDCD025-1B50-4C2E-82DE-BF31FC1C8EA4}"/>
    <cellStyle name="Normal 52" xfId="120" xr:uid="{6EEE07CE-0624-446F-BC28-8E922E3F97DD}"/>
    <cellStyle name="Normal 52 2" xfId="211" xr:uid="{4F673EEB-6CA8-4CA9-B71F-5AC4312910DE}"/>
    <cellStyle name="Normal 52 2 2" xfId="436" xr:uid="{C0DF67EE-8632-45EA-9874-A0FD92E0C018}"/>
    <cellStyle name="Normal 52 3" xfId="349" xr:uid="{4EAF89B9-9763-4A5A-9F64-E521F8112AD1}"/>
    <cellStyle name="Normal 53" xfId="122" xr:uid="{340D2563-B432-444F-9771-6864301C9340}"/>
    <cellStyle name="Normal 54" xfId="121" xr:uid="{96AA2BEA-57E7-4B54-A8DC-47CE098913DE}"/>
    <cellStyle name="Normal 54 2" xfId="350" xr:uid="{DB9DC245-FEB9-47BA-8CD6-EEB6FCB99699}"/>
    <cellStyle name="Normal 55" xfId="212" xr:uid="{22FAECAB-E30B-4667-B009-A87DF59E8667}"/>
    <cellStyle name="Normal 55 2" xfId="437" xr:uid="{D99B77B2-E19B-4A2D-9696-594344700D18}"/>
    <cellStyle name="Normal 56" xfId="223" xr:uid="{0B30A95D-FD02-494E-BBA9-45B83F2707F4}"/>
    <cellStyle name="Normal 56 2" xfId="446" xr:uid="{476DF1A9-6F96-4E32-BA9D-E639723B0470}"/>
    <cellStyle name="Normal 57" xfId="232" xr:uid="{9028ED27-00CC-421A-A55B-E2A9DC62EE83}"/>
    <cellStyle name="Normal 57 2" xfId="455" xr:uid="{51C423D6-4BD4-4C99-80B0-A01A1AD7AFCF}"/>
    <cellStyle name="Normal 58" xfId="233" xr:uid="{A3A2D886-E55A-452E-ACEA-89373C1A0CE9}"/>
    <cellStyle name="Normal 58 2" xfId="456" xr:uid="{16143FDE-2834-45B0-B399-6A3BF7C2BDA4}"/>
    <cellStyle name="Normal 59" xfId="236" xr:uid="{EF45F508-FE6E-474D-8F9D-E45D8209EDC2}"/>
    <cellStyle name="Normal 59 2" xfId="459" xr:uid="{54BB6C64-EE83-4980-BA9C-6E17E8176B2F}"/>
    <cellStyle name="Normal 6" xfId="24" xr:uid="{00000000-0005-0000-0000-000018000000}"/>
    <cellStyle name="Normal 60" xfId="238" xr:uid="{1C5A64AC-EF04-4F7B-AA97-B576E4D5B035}"/>
    <cellStyle name="Normal 60 2" xfId="461" xr:uid="{CE9B925D-F1CD-449D-9015-1D96C05DAC0C}"/>
    <cellStyle name="Normal 61" xfId="240" xr:uid="{8B786B94-908E-4899-AE3D-FE83562F1647}"/>
    <cellStyle name="Normal 61 2" xfId="463" xr:uid="{56B58060-9506-441C-A3E7-9D774A3CC4F5}"/>
    <cellStyle name="Normal 62" xfId="241" xr:uid="{D8024FFD-C71A-48A4-B0E1-15C48B93D1EB}"/>
    <cellStyle name="Normal 62 2" xfId="464" xr:uid="{D1E6BE88-9911-4827-A551-CB6BA2E8C3BB}"/>
    <cellStyle name="Normal 63" xfId="243" xr:uid="{7AEEA671-4034-4C56-8113-FAF7EF8E0B67}"/>
    <cellStyle name="Normal 63 2" xfId="466" xr:uid="{702915B8-0D64-4D8B-AA84-D39D8B173F76}"/>
    <cellStyle name="Normal 64" xfId="244" xr:uid="{6CDF62EB-1EFB-40D1-B1FE-3272BC124CDB}"/>
    <cellStyle name="Normal 64 2" xfId="467" xr:uid="{B40E99F3-F5A3-4628-9BB7-B0BA03108499}"/>
    <cellStyle name="Normal 65" xfId="246" xr:uid="{DA81AFA8-0578-4770-B749-563F4EE1342B}"/>
    <cellStyle name="Normal 65 2" xfId="469" xr:uid="{0AF817F5-A01D-460B-89BF-5AC6E636E4E0}"/>
    <cellStyle name="Normal 66" xfId="247" xr:uid="{F6B10F23-1D98-41E5-88EE-0D77A67DD1D3}"/>
    <cellStyle name="Normal 66 2" xfId="470" xr:uid="{5CD2AA26-5178-4D3E-8A7D-237CFC187AF4}"/>
    <cellStyle name="Normal 67" xfId="256" xr:uid="{0F47A3AD-5F5A-4E12-97B3-A67EDC3BA1BE}"/>
    <cellStyle name="Normal 67 2" xfId="479" xr:uid="{3A001846-BA6B-4ECB-A066-4FC4B880F8D9}"/>
    <cellStyle name="Normal 68" xfId="258" xr:uid="{66FE925A-BDF4-42C5-8426-FAA490D4CB49}"/>
    <cellStyle name="Normal 68 2" xfId="481" xr:uid="{F56B4D87-EA3C-4992-812A-E8BC03BB3A38}"/>
    <cellStyle name="Normal 69" xfId="260" xr:uid="{8C180A76-A532-4162-A6BC-7DABE911981F}"/>
    <cellStyle name="Normal 7" xfId="25" xr:uid="{00000000-0005-0000-0000-000019000000}"/>
    <cellStyle name="Normal 70" xfId="261" xr:uid="{3DC512AD-9CD0-47CA-A2E1-7B9413FDA174}"/>
    <cellStyle name="Normal 71" xfId="262" xr:uid="{214ADB9B-D6D1-4814-92F9-FD6CA2BF14CE}"/>
    <cellStyle name="Normal 8" xfId="26" xr:uid="{00000000-0005-0000-0000-00001A000000}"/>
    <cellStyle name="Normal 9" xfId="27" xr:uid="{00000000-0005-0000-0000-00001B000000}"/>
    <cellStyle name="Normal 9 2" xfId="28" xr:uid="{00000000-0005-0000-0000-00001C000000}"/>
    <cellStyle name="Notas 2" xfId="29" xr:uid="{00000000-0005-0000-0000-00001D000000}"/>
    <cellStyle name="Notas 3" xfId="30" xr:uid="{00000000-0005-0000-0000-00001E000000}"/>
    <cellStyle name="Notas 3 2" xfId="53" xr:uid="{510070E2-7F9B-4A88-A7AE-8D34DB12ADC5}"/>
    <cellStyle name="Notas 3 2 2" xfId="147" xr:uid="{B5F14D3E-5F56-44CA-8AC2-272836168F0B}"/>
    <cellStyle name="Notas 3 2 2 2" xfId="372" xr:uid="{24E044FC-6911-4882-9BFE-CBE919848AF7}"/>
    <cellStyle name="Notas 3 2 3" xfId="285" xr:uid="{A2EA74DD-9D23-43F4-B39F-1F35E420FC5B}"/>
    <cellStyle name="Notas 3 3" xfId="129" xr:uid="{7C62F2DE-5A05-4D70-918B-AD85357D8CE9}"/>
    <cellStyle name="Notas 3 3 2" xfId="355" xr:uid="{01075560-DE8D-4C4D-898C-8CC3D27F2BED}"/>
    <cellStyle name="Notas 3 4" xfId="220" xr:uid="{B3D3832A-4181-42F3-BB7D-AE4359069659}"/>
    <cellStyle name="Notas 3 4 2" xfId="443" xr:uid="{20BE6769-D2B7-4470-A292-65C7F8839D83}"/>
    <cellStyle name="Notas 3 5" xfId="229" xr:uid="{AEE5CEB4-9B65-4A84-93A0-7919DCC93146}"/>
    <cellStyle name="Notas 3 5 2" xfId="452" xr:uid="{F17291A7-9063-4B9F-8D42-5CC7299C5BA9}"/>
    <cellStyle name="Notas 3 6" xfId="253" xr:uid="{0FDC18FA-B7C7-44BA-A17E-D5ACB15725C5}"/>
    <cellStyle name="Notas 3 6 2" xfId="476" xr:uid="{B1D08D15-73DD-4E65-8A2E-2C4E7B4C6ECC}"/>
    <cellStyle name="Notas 3 7" xfId="268" xr:uid="{98C39A90-A4FE-4A3C-AA95-B88F5E2B34AC}"/>
    <cellStyle name="Porcentaje" xfId="43" builtinId="5"/>
    <cellStyle name="Porcentaje 2" xfId="31" xr:uid="{00000000-0005-0000-0000-00001F000000}"/>
    <cellStyle name="Porcentaje 2 2" xfId="54" xr:uid="{C1EE2176-2734-455F-9339-7690A795A6E8}"/>
    <cellStyle name="Porcentaje 2 2 2" xfId="148" xr:uid="{DF1B9A60-6850-44DE-96AE-290DDE9B3772}"/>
    <cellStyle name="Porcentaje 2 2 2 2" xfId="373" xr:uid="{B659046D-A39C-46ED-A0E0-E5B463742DF3}"/>
    <cellStyle name="Porcentaje 2 2 3" xfId="286" xr:uid="{E458059B-4A61-415C-9697-0FAF73AA4E18}"/>
    <cellStyle name="Porcentaje 2 3" xfId="130" xr:uid="{691668FD-2CC0-44FB-B239-A9181D795A95}"/>
    <cellStyle name="Porcentaje 2 3 2" xfId="356" xr:uid="{424B97BD-EA85-41EC-919E-667496D6045D}"/>
    <cellStyle name="Porcentaje 2 4" xfId="221" xr:uid="{E28AED5D-8501-49C3-99CF-D5CC2D151501}"/>
    <cellStyle name="Porcentaje 2 4 2" xfId="444" xr:uid="{F4F8B772-D717-440A-B62A-2AD22974C2AA}"/>
    <cellStyle name="Porcentaje 2 5" xfId="230" xr:uid="{D2700C39-DD6E-4A13-BADF-DC19E82A94AD}"/>
    <cellStyle name="Porcentaje 2 5 2" xfId="453" xr:uid="{01092336-9C5A-4241-843C-829E883575B5}"/>
    <cellStyle name="Porcentaje 2 6" xfId="254" xr:uid="{BD52DCFC-7C2E-445B-9EBD-5C7846046113}"/>
    <cellStyle name="Porcentaje 2 6 2" xfId="477" xr:uid="{BA24DBFB-670E-4C74-9C69-7A8B553FDB8B}"/>
    <cellStyle name="Porcentaje 2 7" xfId="269" xr:uid="{DB60B0F8-30FE-41E5-A74C-C2B3147B1ED7}"/>
    <cellStyle name="Porcentaje 3" xfId="64" xr:uid="{7BCF2219-F659-4C58-8683-05B7FA979DE7}"/>
    <cellStyle name="Porcentaje 4" xfId="140" xr:uid="{8FF4D8C9-856F-428D-8317-5846C1D22FB4}"/>
    <cellStyle name="Porcentaje 5" xfId="222" xr:uid="{18C5605D-A826-44BC-8D81-1C5A5215B79F}"/>
    <cellStyle name="Porcentaje 5 2" xfId="445" xr:uid="{D276B008-09DF-45A6-AFD3-C994D43F7626}"/>
    <cellStyle name="Porcentaje 6" xfId="231" xr:uid="{BA78F924-669A-4309-9ECD-7D041EE22FA4}"/>
    <cellStyle name="Porcentaje 6 2" xfId="454" xr:uid="{AB73340F-DFDB-49F9-A4EC-8EBF07AC81AB}"/>
    <cellStyle name="Porcentaje 7" xfId="255" xr:uid="{02BE1856-F2E9-4B25-A3CB-E6BFE4F9AE24}"/>
    <cellStyle name="Porcentaje 7 2" xfId="478" xr:uid="{F940D6FE-9CD3-4F51-BA91-A6F7DDA95B96}"/>
    <cellStyle name="Título 4" xfId="32" xr:uid="{00000000-0005-0000-0000-000020000000}"/>
    <cellStyle name="Total" xfId="33" builtinId="25" customBuiltin="1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82550</xdr:colOff>
      <xdr:row>4</xdr:row>
      <xdr:rowOff>89958</xdr:rowOff>
    </xdr:to>
    <xdr:pic>
      <xdr:nvPicPr>
        <xdr:cNvPr id="122639" name="Imagen 5">
          <a:extLst>
            <a:ext uri="{FF2B5EF4-FFF2-40B4-BE49-F238E27FC236}">
              <a16:creationId xmlns:a16="http://schemas.microsoft.com/office/drawing/2014/main" id="{FBB8FFAC-DAD7-B40B-D2EC-849F44E6C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971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383886</xdr:colOff>
      <xdr:row>54</xdr:row>
      <xdr:rowOff>108047</xdr:rowOff>
    </xdr:from>
    <xdr:to>
      <xdr:col>0</xdr:col>
      <xdr:colOff>2566443</xdr:colOff>
      <xdr:row>54</xdr:row>
      <xdr:rowOff>126337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DEB648-15A2-4642-9AF7-FF90C6FB6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886" y="12077797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555241</xdr:colOff>
      <xdr:row>60</xdr:row>
      <xdr:rowOff>146916</xdr:rowOff>
    </xdr:from>
    <xdr:to>
      <xdr:col>3</xdr:col>
      <xdr:colOff>166048</xdr:colOff>
      <xdr:row>60</xdr:row>
      <xdr:rowOff>165206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299C9B41-073E-4008-BCD3-CE5E31FEC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4491" y="13090333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783166</xdr:colOff>
      <xdr:row>54</xdr:row>
      <xdr:rowOff>95250</xdr:rowOff>
    </xdr:from>
    <xdr:to>
      <xdr:col>4</xdr:col>
      <xdr:colOff>1007806</xdr:colOff>
      <xdr:row>54</xdr:row>
      <xdr:rowOff>113540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7A992E-3BA1-4DE9-9342-FCAF7E680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4166" y="11715750"/>
          <a:ext cx="2182557" cy="182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38100</xdr:rowOff>
    </xdr:from>
    <xdr:to>
      <xdr:col>2</xdr:col>
      <xdr:colOff>914400</xdr:colOff>
      <xdr:row>1</xdr:row>
      <xdr:rowOff>238125</xdr:rowOff>
    </xdr:to>
    <xdr:pic>
      <xdr:nvPicPr>
        <xdr:cNvPr id="111142" name="Imagen 5">
          <a:extLst>
            <a:ext uri="{FF2B5EF4-FFF2-40B4-BE49-F238E27FC236}">
              <a16:creationId xmlns:a16="http://schemas.microsoft.com/office/drawing/2014/main" id="{4E642CD8-AE2F-6148-B158-8F827AD1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1981200</xdr:colOff>
      <xdr:row>2</xdr:row>
      <xdr:rowOff>228600</xdr:rowOff>
    </xdr:to>
    <xdr:pic>
      <xdr:nvPicPr>
        <xdr:cNvPr id="125042" name="Imagen 5">
          <a:extLst>
            <a:ext uri="{FF2B5EF4-FFF2-40B4-BE49-F238E27FC236}">
              <a16:creationId xmlns:a16="http://schemas.microsoft.com/office/drawing/2014/main" id="{E4A63FC3-962F-B871-4424-7086795C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219075</xdr:rowOff>
    </xdr:from>
    <xdr:to>
      <xdr:col>1</xdr:col>
      <xdr:colOff>1800225</xdr:colOff>
      <xdr:row>2</xdr:row>
      <xdr:rowOff>114300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6F280ABA-122E-77FA-5818-1F29A79B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19075"/>
          <a:ext cx="1971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2162175</xdr:colOff>
      <xdr:row>2</xdr:row>
      <xdr:rowOff>9525</xdr:rowOff>
    </xdr:to>
    <xdr:pic>
      <xdr:nvPicPr>
        <xdr:cNvPr id="106032" name="Imagen 5">
          <a:extLst>
            <a:ext uri="{FF2B5EF4-FFF2-40B4-BE49-F238E27FC236}">
              <a16:creationId xmlns:a16="http://schemas.microsoft.com/office/drawing/2014/main" id="{D9A7D43C-C7F7-8B16-5F95-500BFD2E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2124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96309</xdr:colOff>
      <xdr:row>1</xdr:row>
      <xdr:rowOff>23284</xdr:rowOff>
    </xdr:from>
    <xdr:to>
      <xdr:col>1</xdr:col>
      <xdr:colOff>1820333</xdr:colOff>
      <xdr:row>2</xdr:row>
      <xdr:rowOff>291963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5B75407B-3ACC-8C68-0B55-3A33BB7E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6" y="340784"/>
          <a:ext cx="1724024" cy="58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2038350</xdr:colOff>
      <xdr:row>2</xdr:row>
      <xdr:rowOff>0</xdr:rowOff>
    </xdr:to>
    <xdr:pic>
      <xdr:nvPicPr>
        <xdr:cNvPr id="128023" name="Imagen 5">
          <a:extLst>
            <a:ext uri="{FF2B5EF4-FFF2-40B4-BE49-F238E27FC236}">
              <a16:creationId xmlns:a16="http://schemas.microsoft.com/office/drawing/2014/main" id="{73FC42E7-D996-D5BA-6EBC-BDD778E38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2476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1276350</xdr:colOff>
      <xdr:row>2</xdr:row>
      <xdr:rowOff>152400</xdr:rowOff>
    </xdr:to>
    <xdr:pic>
      <xdr:nvPicPr>
        <xdr:cNvPr id="107056" name="Imagen 5">
          <a:extLst>
            <a:ext uri="{FF2B5EF4-FFF2-40B4-BE49-F238E27FC236}">
              <a16:creationId xmlns:a16="http://schemas.microsoft.com/office/drawing/2014/main" id="{4062ED9C-56A0-1DCF-8E0B-298877DA6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914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1609725</xdr:colOff>
      <xdr:row>3</xdr:row>
      <xdr:rowOff>9525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5846BA9-2CD3-4BD9-A901-BDF12478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1609725</xdr:colOff>
      <xdr:row>2</xdr:row>
      <xdr:rowOff>95250</xdr:rowOff>
    </xdr:to>
    <xdr:pic>
      <xdr:nvPicPr>
        <xdr:cNvPr id="127045" name="Imagen 5">
          <a:extLst>
            <a:ext uri="{FF2B5EF4-FFF2-40B4-BE49-F238E27FC236}">
              <a16:creationId xmlns:a16="http://schemas.microsoft.com/office/drawing/2014/main" id="{6F3A6C53-FEA6-A70F-5EE3-BEFE770A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19050</xdr:rowOff>
    </xdr:from>
    <xdr:to>
      <xdr:col>1</xdr:col>
      <xdr:colOff>1981200</xdr:colOff>
      <xdr:row>3</xdr:row>
      <xdr:rowOff>57150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146610C-2936-4B1B-8541-FA1B5946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2943225</xdr:colOff>
      <xdr:row>3</xdr:row>
      <xdr:rowOff>180975</xdr:rowOff>
    </xdr:to>
    <xdr:pic>
      <xdr:nvPicPr>
        <xdr:cNvPr id="123662" name="Imagen 5">
          <a:extLst>
            <a:ext uri="{FF2B5EF4-FFF2-40B4-BE49-F238E27FC236}">
              <a16:creationId xmlns:a16="http://schemas.microsoft.com/office/drawing/2014/main" id="{AF619B97-FC7E-6A3A-2280-40218540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28289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42</xdr:row>
      <xdr:rowOff>148167</xdr:rowOff>
    </xdr:from>
    <xdr:to>
      <xdr:col>0</xdr:col>
      <xdr:colOff>2690557</xdr:colOff>
      <xdr:row>42</xdr:row>
      <xdr:rowOff>166457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D18B5-E56D-8A2E-9D04-F69CF0D80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9112250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719666</xdr:colOff>
      <xdr:row>42</xdr:row>
      <xdr:rowOff>158749</xdr:rowOff>
    </xdr:from>
    <xdr:to>
      <xdr:col>4</xdr:col>
      <xdr:colOff>1159148</xdr:colOff>
      <xdr:row>42</xdr:row>
      <xdr:rowOff>177039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9AE03CAB-5102-43BC-91BC-775AD7F69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4083" y="10816166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480484</xdr:colOff>
      <xdr:row>47</xdr:row>
      <xdr:rowOff>152399</xdr:rowOff>
    </xdr:from>
    <xdr:to>
      <xdr:col>3</xdr:col>
      <xdr:colOff>53191</xdr:colOff>
      <xdr:row>47</xdr:row>
      <xdr:rowOff>170689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10EF56D0-1A53-4C71-B45C-A2E2107EF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0817" y="12227982"/>
          <a:ext cx="2182557" cy="182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142875</xdr:rowOff>
    </xdr:from>
    <xdr:to>
      <xdr:col>1</xdr:col>
      <xdr:colOff>2057400</xdr:colOff>
      <xdr:row>3</xdr:row>
      <xdr:rowOff>66675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5942A7CC-DA7E-4BB4-91AB-6975AEA1B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2875"/>
          <a:ext cx="17049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1</xdr:col>
      <xdr:colOff>1857375</xdr:colOff>
      <xdr:row>3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A05D70BF-6987-4E10-82C5-0841968AF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90500"/>
          <a:ext cx="1704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1981200</xdr:colOff>
      <xdr:row>1</xdr:row>
      <xdr:rowOff>200025</xdr:rowOff>
    </xdr:to>
    <xdr:pic>
      <xdr:nvPicPr>
        <xdr:cNvPr id="112133" name="Imagen 10">
          <a:extLst>
            <a:ext uri="{FF2B5EF4-FFF2-40B4-BE49-F238E27FC236}">
              <a16:creationId xmlns:a16="http://schemas.microsoft.com/office/drawing/2014/main" id="{038AD5BE-7843-AF9D-E79E-D66DDA21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1819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1</xdr:row>
      <xdr:rowOff>95250</xdr:rowOff>
    </xdr:from>
    <xdr:to>
      <xdr:col>1</xdr:col>
      <xdr:colOff>1790701</xdr:colOff>
      <xdr:row>3</xdr:row>
      <xdr:rowOff>176941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849152-FB51-4116-8898-542FA5874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1" y="257175"/>
          <a:ext cx="1962150" cy="46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7</xdr:row>
      <xdr:rowOff>171450</xdr:rowOff>
    </xdr:from>
    <xdr:to>
      <xdr:col>7</xdr:col>
      <xdr:colOff>57150</xdr:colOff>
      <xdr:row>9</xdr:row>
      <xdr:rowOff>119791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046AB8-C8E9-46A5-83BC-7A12C45C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304925"/>
          <a:ext cx="1962150" cy="46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225877</xdr:colOff>
      <xdr:row>0</xdr:row>
      <xdr:rowOff>0</xdr:rowOff>
    </xdr:from>
    <xdr:to>
      <xdr:col>2</xdr:col>
      <xdr:colOff>576748</xdr:colOff>
      <xdr:row>3</xdr:row>
      <xdr:rowOff>89419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DF238433-E1DA-C21D-46DB-C6DD5F35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77" y="0"/>
          <a:ext cx="2343345" cy="682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104775</xdr:rowOff>
    </xdr:from>
    <xdr:to>
      <xdr:col>1</xdr:col>
      <xdr:colOff>2095500</xdr:colOff>
      <xdr:row>2</xdr:row>
      <xdr:rowOff>0</xdr:rowOff>
    </xdr:to>
    <xdr:pic>
      <xdr:nvPicPr>
        <xdr:cNvPr id="126412" name="Imagen 5">
          <a:extLst>
            <a:ext uri="{FF2B5EF4-FFF2-40B4-BE49-F238E27FC236}">
              <a16:creationId xmlns:a16="http://schemas.microsoft.com/office/drawing/2014/main" id="{2E8EB3B3-B307-3653-41C3-AA8406BD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0193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64559</xdr:colOff>
      <xdr:row>31</xdr:row>
      <xdr:rowOff>118534</xdr:rowOff>
    </xdr:from>
    <xdr:to>
      <xdr:col>1</xdr:col>
      <xdr:colOff>1883834</xdr:colOff>
      <xdr:row>32</xdr:row>
      <xdr:rowOff>267759</xdr:rowOff>
    </xdr:to>
    <xdr:pic>
      <xdr:nvPicPr>
        <xdr:cNvPr id="10" name="Imagen 5">
          <a:extLst>
            <a:ext uri="{FF2B5EF4-FFF2-40B4-BE49-F238E27FC236}">
              <a16:creationId xmlns:a16="http://schemas.microsoft.com/office/drawing/2014/main" id="{D422BA19-CA8B-83F5-E3E2-132D51ABF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392" y="9791701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96310</xdr:colOff>
      <xdr:row>78</xdr:row>
      <xdr:rowOff>115359</xdr:rowOff>
    </xdr:from>
    <xdr:ext cx="1819275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E08C6E16-7497-4A44-9154-035931D8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43" y="20403609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118</xdr:row>
      <xdr:rowOff>142875</xdr:rowOff>
    </xdr:from>
    <xdr:ext cx="1819275" cy="466725"/>
    <xdr:pic>
      <xdr:nvPicPr>
        <xdr:cNvPr id="3" name="Imagen 5">
          <a:extLst>
            <a:ext uri="{FF2B5EF4-FFF2-40B4-BE49-F238E27FC236}">
              <a16:creationId xmlns:a16="http://schemas.microsoft.com/office/drawing/2014/main" id="{8A3623C0-0200-48CF-BF1D-FA8A49A4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374475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62442</xdr:rowOff>
    </xdr:from>
    <xdr:to>
      <xdr:col>1</xdr:col>
      <xdr:colOff>2063750</xdr:colOff>
      <xdr:row>1</xdr:row>
      <xdr:rowOff>275167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82E2B53-8CB7-4DB8-A4ED-63C43A4FA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2442"/>
          <a:ext cx="20193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244476</xdr:colOff>
      <xdr:row>29</xdr:row>
      <xdr:rowOff>84668</xdr:rowOff>
    </xdr:from>
    <xdr:ext cx="1819275" cy="466725"/>
    <xdr:pic>
      <xdr:nvPicPr>
        <xdr:cNvPr id="6" name="Imagen 5">
          <a:extLst>
            <a:ext uri="{FF2B5EF4-FFF2-40B4-BE49-F238E27FC236}">
              <a16:creationId xmlns:a16="http://schemas.microsoft.com/office/drawing/2014/main" id="{07D52B5C-8E53-49F8-AB57-954376ED7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6" y="9662585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49741</xdr:colOff>
      <xdr:row>0</xdr:row>
      <xdr:rowOff>21167</xdr:rowOff>
    </xdr:from>
    <xdr:ext cx="2019300" cy="533400"/>
    <xdr:pic>
      <xdr:nvPicPr>
        <xdr:cNvPr id="124168" name="Imagen 5">
          <a:extLst>
            <a:ext uri="{FF2B5EF4-FFF2-40B4-BE49-F238E27FC236}">
              <a16:creationId xmlns:a16="http://schemas.microsoft.com/office/drawing/2014/main" id="{5CE6D568-7448-262D-5509-D26DD9ACA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1" y="21167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101600</xdr:rowOff>
    </xdr:from>
    <xdr:ext cx="2019300" cy="533400"/>
    <xdr:pic>
      <xdr:nvPicPr>
        <xdr:cNvPr id="124169" name="Imagen 5">
          <a:extLst>
            <a:ext uri="{FF2B5EF4-FFF2-40B4-BE49-F238E27FC236}">
              <a16:creationId xmlns:a16="http://schemas.microsoft.com/office/drawing/2014/main" id="{41BD9BB7-1DCF-4148-33CD-8586050F6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2767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2019300" cy="533400"/>
    <xdr:pic>
      <xdr:nvPicPr>
        <xdr:cNvPr id="2" name="Imagen 5">
          <a:extLst>
            <a:ext uri="{FF2B5EF4-FFF2-40B4-BE49-F238E27FC236}">
              <a16:creationId xmlns:a16="http://schemas.microsoft.com/office/drawing/2014/main" id="{3B8D1F6E-6BC4-4A7A-B804-F7D31E2B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1</xdr:row>
      <xdr:rowOff>149679</xdr:rowOff>
    </xdr:from>
    <xdr:to>
      <xdr:col>1</xdr:col>
      <xdr:colOff>2083621</xdr:colOff>
      <xdr:row>4</xdr:row>
      <xdr:rowOff>110589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799DE4FA-E9C1-4288-8F96-06547918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9" y="340179"/>
          <a:ext cx="2056406" cy="541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</xdr:colOff>
      <xdr:row>0</xdr:row>
      <xdr:rowOff>178593</xdr:rowOff>
    </xdr:from>
    <xdr:to>
      <xdr:col>1</xdr:col>
      <xdr:colOff>3540918</xdr:colOff>
      <xdr:row>4</xdr:row>
      <xdr:rowOff>131185</xdr:rowOff>
    </xdr:to>
    <xdr:pic>
      <xdr:nvPicPr>
        <xdr:cNvPr id="101949" name="Imagen 5">
          <a:extLst>
            <a:ext uri="{FF2B5EF4-FFF2-40B4-BE49-F238E27FC236}">
              <a16:creationId xmlns:a16="http://schemas.microsoft.com/office/drawing/2014/main" id="{B8782D00-277A-552A-3006-2A30D418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943" y="178593"/>
          <a:ext cx="3479006" cy="724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0</xdr:col>
      <xdr:colOff>1579275</xdr:colOff>
      <xdr:row>2</xdr:row>
      <xdr:rowOff>28576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FE0EB6D-5B2A-8C03-25A8-A34D8316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579275" cy="3810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161925</xdr:rowOff>
    </xdr:from>
    <xdr:ext cx="1766888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837C7CE7-BA36-45B4-8583-F669CBC8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21</xdr:row>
      <xdr:rowOff>50800</xdr:rowOff>
    </xdr:from>
    <xdr:ext cx="1766888" cy="466725"/>
    <xdr:pic>
      <xdr:nvPicPr>
        <xdr:cNvPr id="3" name="Imagen 5">
          <a:extLst>
            <a:ext uri="{FF2B5EF4-FFF2-40B4-BE49-F238E27FC236}">
              <a16:creationId xmlns:a16="http://schemas.microsoft.com/office/drawing/2014/main" id="{4075567B-BCEB-4D5D-9A1E-B2434D377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33730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51</xdr:row>
      <xdr:rowOff>0</xdr:rowOff>
    </xdr:from>
    <xdr:ext cx="1766888" cy="466725"/>
    <xdr:pic>
      <xdr:nvPicPr>
        <xdr:cNvPr id="4" name="Imagen 5">
          <a:extLst>
            <a:ext uri="{FF2B5EF4-FFF2-40B4-BE49-F238E27FC236}">
              <a16:creationId xmlns:a16="http://schemas.microsoft.com/office/drawing/2014/main" id="{A14D9B0F-5081-4968-87AC-59C1FC7C5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83030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95249</xdr:rowOff>
    </xdr:from>
    <xdr:to>
      <xdr:col>0</xdr:col>
      <xdr:colOff>2209800</xdr:colOff>
      <xdr:row>1</xdr:row>
      <xdr:rowOff>295275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22325B-61C2-96DB-B02E-3F2B9341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49"/>
          <a:ext cx="218122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128588</xdr:rowOff>
    </xdr:from>
    <xdr:to>
      <xdr:col>2</xdr:col>
      <xdr:colOff>261937</xdr:colOff>
      <xdr:row>4</xdr:row>
      <xdr:rowOff>4763</xdr:rowOff>
    </xdr:to>
    <xdr:pic>
      <xdr:nvPicPr>
        <xdr:cNvPr id="109102" name="Imagen 5">
          <a:extLst>
            <a:ext uri="{FF2B5EF4-FFF2-40B4-BE49-F238E27FC236}">
              <a16:creationId xmlns:a16="http://schemas.microsoft.com/office/drawing/2014/main" id="{0E52FF90-3591-D5B5-CC0C-909F1E5B1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128588"/>
          <a:ext cx="2440781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271464</xdr:colOff>
      <xdr:row>0</xdr:row>
      <xdr:rowOff>109539</xdr:rowOff>
    </xdr:from>
    <xdr:to>
      <xdr:col>1</xdr:col>
      <xdr:colOff>3071813</xdr:colOff>
      <xdr:row>3</xdr:row>
      <xdr:rowOff>15217</xdr:rowOff>
    </xdr:to>
    <xdr:pic>
      <xdr:nvPicPr>
        <xdr:cNvPr id="117100" name="Imagen 5">
          <a:extLst>
            <a:ext uri="{FF2B5EF4-FFF2-40B4-BE49-F238E27FC236}">
              <a16:creationId xmlns:a16="http://schemas.microsoft.com/office/drawing/2014/main" id="{3F9420CD-8756-963F-5277-A2D2B227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4" y="109539"/>
          <a:ext cx="3109912" cy="631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1</xdr:col>
      <xdr:colOff>1914525</xdr:colOff>
      <xdr:row>1</xdr:row>
      <xdr:rowOff>276225</xdr:rowOff>
    </xdr:to>
    <xdr:pic>
      <xdr:nvPicPr>
        <xdr:cNvPr id="103984" name="Imagen 5">
          <a:extLst>
            <a:ext uri="{FF2B5EF4-FFF2-40B4-BE49-F238E27FC236}">
              <a16:creationId xmlns:a16="http://schemas.microsoft.com/office/drawing/2014/main" id="{D949302E-C951-499B-1C92-F7CDEC48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2228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263525</xdr:colOff>
      <xdr:row>0</xdr:row>
      <xdr:rowOff>49742</xdr:rowOff>
    </xdr:from>
    <xdr:to>
      <xdr:col>1</xdr:col>
      <xdr:colOff>2178050</xdr:colOff>
      <xdr:row>1</xdr:row>
      <xdr:rowOff>303742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5574382-4D5E-358D-643B-B7C07B469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49742"/>
          <a:ext cx="2286000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180975</xdr:rowOff>
    </xdr:from>
    <xdr:to>
      <xdr:col>1</xdr:col>
      <xdr:colOff>1743075</xdr:colOff>
      <xdr:row>2</xdr:row>
      <xdr:rowOff>0</xdr:rowOff>
    </xdr:to>
    <xdr:pic>
      <xdr:nvPicPr>
        <xdr:cNvPr id="72643" name="Imagen 5">
          <a:extLst>
            <a:ext uri="{FF2B5EF4-FFF2-40B4-BE49-F238E27FC236}">
              <a16:creationId xmlns:a16="http://schemas.microsoft.com/office/drawing/2014/main" id="{6E593C62-F4DE-9C64-DCF2-F9DC064E7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0975"/>
          <a:ext cx="1781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152400</xdr:rowOff>
    </xdr:from>
    <xdr:to>
      <xdr:col>1</xdr:col>
      <xdr:colOff>2190750</xdr:colOff>
      <xdr:row>2</xdr:row>
      <xdr:rowOff>197644</xdr:rowOff>
    </xdr:to>
    <xdr:pic>
      <xdr:nvPicPr>
        <xdr:cNvPr id="105008" name="Imagen 5">
          <a:extLst>
            <a:ext uri="{FF2B5EF4-FFF2-40B4-BE49-F238E27FC236}">
              <a16:creationId xmlns:a16="http://schemas.microsoft.com/office/drawing/2014/main" id="{7CFF9A80-00C2-C530-603F-DC71AE03F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52400"/>
          <a:ext cx="2152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RRHH/Documentos%20compartidos/RH/2025/VACACIONES/Registro%20de%20vacaciones.xlsx" TargetMode="External"/><Relationship Id="rId1" Type="http://schemas.openxmlformats.org/officeDocument/2006/relationships/externalLinkPath" Target="/sites/RRHH/Documentos%20compartidos/RH/2025/VACACIONES/Registro%20de%20vac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2%20CONT%20NEW/2025/Entradas%20de%20Diario/ED%2025%2001%20Enero.xlsx" TargetMode="External"/><Relationship Id="rId1" Type="http://schemas.openxmlformats.org/officeDocument/2006/relationships/externalLinkPath" Target="/sites/DF/Shared%20Documents/2%20CONT%20NEW/2025/Entradas%20de%20Diario/ED%2025%2001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Enero"/>
      <sheetName val="Febrero"/>
      <sheetName val="Marzo"/>
      <sheetName val="Abril"/>
      <sheetName val="Mayo"/>
      <sheetName val="Junio"/>
      <sheetName val="Julio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AIDA VICTORIA PARDILLA MARTINEZ</v>
          </cell>
        </row>
        <row r="5">
          <cell r="A5" t="str">
            <v>GERMAINE DANIELLE GAZON ROSARIO</v>
          </cell>
        </row>
        <row r="6">
          <cell r="A6" t="str">
            <v>ODALIS MARTE RODRIGUEZ</v>
          </cell>
        </row>
        <row r="7">
          <cell r="A7" t="str">
            <v>ANA ILDA NUÑEZ BATISTA</v>
          </cell>
        </row>
        <row r="8">
          <cell r="A8" t="str">
            <v>LUIS ANTONIO MOQUETE PELLETIER</v>
          </cell>
        </row>
        <row r="9">
          <cell r="A9" t="str">
            <v>MARGARET RAMIREZ BAEZ</v>
          </cell>
        </row>
        <row r="10">
          <cell r="A10" t="str">
            <v>MERCEDES IVELICES GUZMAN VALERIO</v>
          </cell>
        </row>
        <row r="11">
          <cell r="A11" t="str">
            <v>JOSE MANUEL VALDEZ</v>
          </cell>
        </row>
        <row r="12">
          <cell r="A12" t="str">
            <v>FREILYN LIZETH PEREZ DIAZ</v>
          </cell>
        </row>
        <row r="13">
          <cell r="A13" t="str">
            <v>SARITA MARTINEZ FROMETA</v>
          </cell>
        </row>
        <row r="14">
          <cell r="A14" t="str">
            <v>DOMINGO ALBERTO RODRIGUEZ</v>
          </cell>
        </row>
        <row r="15">
          <cell r="A15" t="str">
            <v>NYSA MARIA FERREIRA BALBI</v>
          </cell>
        </row>
        <row r="16">
          <cell r="A16" t="str">
            <v>LISBET RODRIGUEZ GUZMAN</v>
          </cell>
        </row>
        <row r="17">
          <cell r="A17" t="str">
            <v>LADY MARGARET ESPINAL ROMERO</v>
          </cell>
        </row>
        <row r="18">
          <cell r="A18" t="str">
            <v>CELIA MASSIEL CUEVAS JIMENEZ</v>
          </cell>
        </row>
        <row r="19">
          <cell r="A19" t="str">
            <v>LEWIS ANTONIO MEDRANO MORLA</v>
          </cell>
        </row>
        <row r="20">
          <cell r="A20" t="str">
            <v>JESUS OMAR SANCHEZ TRINIDAD</v>
          </cell>
        </row>
        <row r="21">
          <cell r="A21" t="str">
            <v>PEDRO DANIEL ESQUEA MONTILLA</v>
          </cell>
        </row>
        <row r="22">
          <cell r="A22" t="str">
            <v>SAMUEL JUNIOR ULLOA MARIANO</v>
          </cell>
        </row>
        <row r="23">
          <cell r="A23" t="str">
            <v>RUBEN DARIO ALMONTE MATEO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 ED"/>
      <sheetName val="Resumen"/>
      <sheetName val="analisis IR3"/>
      <sheetName val="Reclasific"/>
      <sheetName val="Dividend"/>
      <sheetName val="Nominas "/>
      <sheetName val="Pagos"/>
      <sheetName val="Vacaciones"/>
      <sheetName val="Form Vacaciones"/>
      <sheetName val="Combustible"/>
      <sheetName val="Act Fijo"/>
      <sheetName val="Amortiz GPA"/>
      <sheetName val="Provision Bonos"/>
      <sheetName val="Provision Regalia nav"/>
      <sheetName val="Provisiones vacac"/>
      <sheetName val="Auditoria HLB"/>
      <sheetName val="Hoja4"/>
      <sheetName val="VACACIONE"/>
      <sheetName val="Analisis ISR ITBIS"/>
      <sheetName val="Dif. cambiaria "/>
      <sheetName val="Hoja17"/>
      <sheetName val="Intereses"/>
      <sheetName val="Interes calculo"/>
      <sheetName val="INVENTARIO"/>
      <sheetName val="Cargos banc"/>
      <sheetName val="Inversion"/>
      <sheetName val="Vacacion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H7">
            <v>8399520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6:M85"/>
  <sheetViews>
    <sheetView tabSelected="1" topLeftCell="A37" zoomScale="90" zoomScaleNormal="90" workbookViewId="0">
      <selection activeCell="C16" sqref="C16"/>
    </sheetView>
  </sheetViews>
  <sheetFormatPr baseColWidth="10" defaultColWidth="9.109375" defaultRowHeight="15" x14ac:dyDescent="0.25"/>
  <cols>
    <col min="1" max="1" width="43.33203125" style="4" customWidth="1"/>
    <col min="2" max="2" width="10" style="4" customWidth="1"/>
    <col min="3" max="3" width="28.5546875" style="36" bestFit="1" customWidth="1"/>
    <col min="4" max="4" width="29.44140625" style="36" bestFit="1" customWidth="1"/>
    <col min="5" max="5" width="25" style="36" customWidth="1"/>
    <col min="6" max="6" width="21.44140625" style="36" customWidth="1"/>
    <col min="7" max="7" width="26.109375" style="37" bestFit="1" customWidth="1"/>
    <col min="8" max="8" width="21.44140625" style="4" bestFit="1" customWidth="1"/>
    <col min="9" max="9" width="20" style="4" bestFit="1" customWidth="1"/>
    <col min="10" max="12" width="9.109375" style="4" customWidth="1"/>
    <col min="13" max="13" width="19.109375" style="4" bestFit="1" customWidth="1"/>
    <col min="14" max="16384" width="9.109375" style="4"/>
  </cols>
  <sheetData>
    <row r="6" spans="1:8" x14ac:dyDescent="0.25">
      <c r="A6" s="4" t="s">
        <v>0</v>
      </c>
    </row>
    <row r="7" spans="1:8" s="10" customFormat="1" ht="25.5" customHeight="1" x14ac:dyDescent="0.3">
      <c r="A7" s="581" t="s">
        <v>1</v>
      </c>
      <c r="B7" s="581"/>
      <c r="C7" s="581"/>
      <c r="D7" s="581"/>
      <c r="E7" s="581"/>
      <c r="F7" s="9"/>
      <c r="G7" s="39"/>
    </row>
    <row r="8" spans="1:8" s="10" customFormat="1" ht="25.5" customHeight="1" x14ac:dyDescent="0.3">
      <c r="A8" s="582" t="s">
        <v>2</v>
      </c>
      <c r="B8" s="582"/>
      <c r="C8" s="582"/>
      <c r="D8" s="582"/>
      <c r="E8" s="582"/>
      <c r="F8" s="9"/>
      <c r="G8" s="39"/>
    </row>
    <row r="9" spans="1:8" s="10" customFormat="1" ht="25.5" customHeight="1" x14ac:dyDescent="0.3">
      <c r="A9" s="583" t="s">
        <v>835</v>
      </c>
      <c r="B9" s="583"/>
      <c r="C9" s="583"/>
      <c r="D9" s="583"/>
      <c r="E9" s="583"/>
      <c r="F9" s="40"/>
      <c r="G9" s="39"/>
    </row>
    <row r="10" spans="1:8" s="10" customFormat="1" ht="25.5" customHeight="1" x14ac:dyDescent="0.3">
      <c r="A10" s="584" t="s">
        <v>3</v>
      </c>
      <c r="B10" s="584"/>
      <c r="C10" s="584"/>
      <c r="D10" s="584"/>
      <c r="E10" s="584"/>
      <c r="F10" s="9"/>
      <c r="G10" s="39"/>
    </row>
    <row r="11" spans="1:8" s="10" customFormat="1" ht="17.399999999999999" x14ac:dyDescent="0.3">
      <c r="A11" s="42"/>
      <c r="B11" s="42"/>
      <c r="C11" s="42"/>
      <c r="D11" s="42"/>
      <c r="E11" s="43"/>
      <c r="F11" s="43"/>
      <c r="G11" s="39"/>
    </row>
    <row r="12" spans="1:8" s="10" customFormat="1" ht="17.399999999999999" x14ac:dyDescent="0.3">
      <c r="C12" s="43"/>
      <c r="D12" s="43"/>
      <c r="E12" s="43"/>
      <c r="F12" s="43"/>
      <c r="G12" s="39"/>
    </row>
    <row r="13" spans="1:8" s="44" customFormat="1" ht="24.75" customHeight="1" x14ac:dyDescent="0.3">
      <c r="B13" s="45" t="s">
        <v>4</v>
      </c>
      <c r="C13" s="45" t="s">
        <v>5</v>
      </c>
      <c r="D13" s="45" t="s">
        <v>6</v>
      </c>
      <c r="E13" s="45" t="s">
        <v>7</v>
      </c>
      <c r="F13" s="46"/>
      <c r="G13" s="39"/>
    </row>
    <row r="14" spans="1:8" ht="17.399999999999999" x14ac:dyDescent="0.3">
      <c r="A14" s="47" t="s">
        <v>8</v>
      </c>
      <c r="B14" s="47"/>
      <c r="C14" s="48"/>
      <c r="D14" s="48"/>
      <c r="E14" s="48"/>
      <c r="F14" s="48"/>
      <c r="G14" s="39"/>
    </row>
    <row r="15" spans="1:8" ht="18" customHeight="1" x14ac:dyDescent="0.3">
      <c r="A15" s="49" t="s">
        <v>9</v>
      </c>
      <c r="B15" s="49"/>
      <c r="C15" s="48"/>
      <c r="D15" s="48"/>
      <c r="E15" s="48"/>
      <c r="F15" s="48"/>
      <c r="G15" s="39"/>
    </row>
    <row r="16" spans="1:8" ht="18" customHeight="1" x14ac:dyDescent="0.25">
      <c r="A16" s="4" t="s">
        <v>10</v>
      </c>
      <c r="B16" s="5">
        <v>1</v>
      </c>
      <c r="C16" s="50">
        <f>+'A-SITUACION ANEXOS'!D20</f>
        <v>407327761.60399997</v>
      </c>
      <c r="D16" s="50">
        <f>+'A-SITUACION ANEXOS'!E20</f>
        <v>422457870.8459999</v>
      </c>
      <c r="E16" s="50">
        <f>+C16-D16</f>
        <v>-15130109.241999924</v>
      </c>
      <c r="F16" s="48"/>
      <c r="G16" s="51"/>
      <c r="H16" s="25"/>
    </row>
    <row r="17" spans="1:9" ht="18" customHeight="1" x14ac:dyDescent="0.25">
      <c r="A17" s="4" t="s">
        <v>11</v>
      </c>
      <c r="B17" s="5">
        <v>2</v>
      </c>
      <c r="C17" s="50">
        <f>+'A-SITUACION ANEXOS'!D28</f>
        <v>1181200595.27</v>
      </c>
      <c r="D17" s="50">
        <f>+'A-SITUACION ANEXOS'!E28</f>
        <v>1170441062.6800001</v>
      </c>
      <c r="E17" s="50">
        <f>+C17-D17</f>
        <v>10759532.589999914</v>
      </c>
      <c r="F17" s="52"/>
      <c r="G17" s="51"/>
      <c r="H17" s="25"/>
    </row>
    <row r="18" spans="1:9" ht="18" customHeight="1" x14ac:dyDescent="0.25">
      <c r="A18" s="4" t="s">
        <v>12</v>
      </c>
      <c r="B18" s="5">
        <v>3</v>
      </c>
      <c r="C18" s="50">
        <f>+'A-SITUACION ANEXOS'!D37</f>
        <v>10762261.549999999</v>
      </c>
      <c r="D18" s="50">
        <f>+'A-SITUACION ANEXOS'!E37</f>
        <v>11815736.969999999</v>
      </c>
      <c r="E18" s="50">
        <f>+C18-D18</f>
        <v>-1053475.42</v>
      </c>
      <c r="F18" s="48"/>
      <c r="G18" s="51"/>
      <c r="H18" s="25"/>
    </row>
    <row r="19" spans="1:9" ht="18" customHeight="1" x14ac:dyDescent="0.25">
      <c r="A19" s="4" t="s">
        <v>13</v>
      </c>
      <c r="B19" s="5">
        <v>4</v>
      </c>
      <c r="C19" s="50">
        <f>+'A-SITUACION ANEXOS'!D44</f>
        <v>2890889.87</v>
      </c>
      <c r="D19" s="50">
        <f>+'A-SITUACION ANEXOS'!E44</f>
        <v>3240569.4299999997</v>
      </c>
      <c r="E19" s="50">
        <f>+C19-D19</f>
        <v>-349679.55999999959</v>
      </c>
      <c r="F19" s="48"/>
      <c r="G19" s="51"/>
      <c r="H19" s="25"/>
    </row>
    <row r="20" spans="1:9" ht="18" customHeight="1" x14ac:dyDescent="0.25">
      <c r="A20" s="4" t="s">
        <v>14</v>
      </c>
      <c r="B20" s="5">
        <v>5</v>
      </c>
      <c r="C20" s="50">
        <f>+'A-SITUACION ANEXOS'!D51</f>
        <v>2343903.0666666664</v>
      </c>
      <c r="D20" s="50">
        <f>+'A-SITUACION ANEXOS'!E51</f>
        <v>2826253.898333333</v>
      </c>
      <c r="E20" s="50">
        <f>+C20-D20</f>
        <v>-482350.83166666655</v>
      </c>
      <c r="F20" s="48"/>
      <c r="G20" s="51"/>
      <c r="H20" s="25"/>
    </row>
    <row r="21" spans="1:9" ht="18" customHeight="1" x14ac:dyDescent="0.3">
      <c r="A21" s="47" t="s">
        <v>15</v>
      </c>
      <c r="B21" s="35"/>
      <c r="C21" s="53">
        <f>SUM(C16:C20)+0</f>
        <v>1604525411.3606665</v>
      </c>
      <c r="D21" s="53">
        <f>SUM(D16:D20)+0.01</f>
        <v>1610781493.8343334</v>
      </c>
      <c r="E21" s="53">
        <f>SUM(E16:E20)</f>
        <v>-6256082.4636666756</v>
      </c>
      <c r="F21" s="54"/>
      <c r="G21" s="51"/>
      <c r="H21" s="25"/>
      <c r="I21" s="48"/>
    </row>
    <row r="22" spans="1:9" x14ac:dyDescent="0.25">
      <c r="B22" s="5"/>
      <c r="C22" s="50"/>
      <c r="D22" s="50"/>
      <c r="E22" s="50"/>
      <c r="F22" s="55"/>
      <c r="G22" s="51"/>
      <c r="H22" s="25"/>
      <c r="I22" s="48"/>
    </row>
    <row r="23" spans="1:9" ht="17.25" customHeight="1" x14ac:dyDescent="0.25">
      <c r="A23" s="49" t="s">
        <v>16</v>
      </c>
      <c r="B23" s="56"/>
      <c r="C23" s="50"/>
      <c r="D23" s="50"/>
      <c r="E23" s="50"/>
      <c r="F23" s="57"/>
      <c r="G23" s="51"/>
      <c r="H23" s="25"/>
      <c r="I23" s="48"/>
    </row>
    <row r="24" spans="1:9" ht="17.25" customHeight="1" x14ac:dyDescent="0.25">
      <c r="A24" s="4" t="s">
        <v>17</v>
      </c>
      <c r="B24" s="5">
        <v>6</v>
      </c>
      <c r="C24" s="50">
        <f>+'A-SITUACION ANEXOS'!D103</f>
        <v>14831241232.18</v>
      </c>
      <c r="D24" s="50">
        <f>+'A-SITUACION ANEXOS'!E103+0</f>
        <v>14831241232.18</v>
      </c>
      <c r="E24" s="50">
        <f>C24-D24</f>
        <v>0</v>
      </c>
      <c r="F24" s="57"/>
      <c r="G24" s="51"/>
      <c r="H24" s="25"/>
    </row>
    <row r="25" spans="1:9" ht="17.25" customHeight="1" x14ac:dyDescent="0.25">
      <c r="A25" s="4" t="s">
        <v>18</v>
      </c>
      <c r="B25" s="5">
        <v>7</v>
      </c>
      <c r="C25" s="50">
        <f>+'A-SITUACION ANEXOS'!D113</f>
        <v>2278756800</v>
      </c>
      <c r="D25" s="50">
        <f>+'A-SITUACION ANEXOS'!E113</f>
        <v>2178756800</v>
      </c>
      <c r="E25" s="50">
        <f>C25-D25</f>
        <v>100000000</v>
      </c>
      <c r="G25" s="51"/>
      <c r="H25" s="25"/>
    </row>
    <row r="26" spans="1:9" ht="17.25" customHeight="1" x14ac:dyDescent="0.25">
      <c r="A26" s="4" t="s">
        <v>19</v>
      </c>
      <c r="B26" s="5">
        <v>8</v>
      </c>
      <c r="C26" s="58">
        <f>+'A-SITUACION ANEXOS'!D126</f>
        <v>23632938.50999999</v>
      </c>
      <c r="D26" s="58">
        <f>+'A-SITUACION ANEXOS'!E126</f>
        <v>20900276.879999984</v>
      </c>
      <c r="E26" s="58">
        <f>C26-D26</f>
        <v>2732661.6300000064</v>
      </c>
      <c r="F26" s="54"/>
      <c r="G26" s="51"/>
      <c r="H26" s="25"/>
    </row>
    <row r="27" spans="1:9" ht="18.75" customHeight="1" x14ac:dyDescent="0.3">
      <c r="A27" s="47" t="s">
        <v>20</v>
      </c>
      <c r="B27" s="5"/>
      <c r="C27" s="59">
        <f>SUM(C24:C26)</f>
        <v>17133630970.690001</v>
      </c>
      <c r="D27" s="59">
        <f>SUM(D24:D26)</f>
        <v>17030898309.059999</v>
      </c>
      <c r="E27" s="59">
        <f>SUM(E24:E26)</f>
        <v>102732661.63000001</v>
      </c>
      <c r="F27" s="54"/>
      <c r="G27" s="51"/>
      <c r="H27" s="25"/>
    </row>
    <row r="28" spans="1:9" x14ac:dyDescent="0.25">
      <c r="B28" s="5"/>
      <c r="C28" s="50"/>
      <c r="D28" s="50"/>
      <c r="E28" s="50"/>
      <c r="F28" s="55"/>
      <c r="G28" s="51"/>
      <c r="H28" s="25"/>
    </row>
    <row r="29" spans="1:9" ht="24" customHeight="1" thickBot="1" x14ac:dyDescent="0.35">
      <c r="A29" s="47" t="s">
        <v>21</v>
      </c>
      <c r="B29" s="35"/>
      <c r="C29" s="60">
        <f>C21+C27</f>
        <v>18738156382.050667</v>
      </c>
      <c r="D29" s="60">
        <f>D21+D27</f>
        <v>18641679802.894333</v>
      </c>
      <c r="E29" s="60">
        <f>+C29-D29</f>
        <v>96476579.156333923</v>
      </c>
      <c r="F29" s="54"/>
      <c r="G29" s="51"/>
      <c r="H29" s="25"/>
    </row>
    <row r="30" spans="1:9" ht="17.25" customHeight="1" thickTop="1" x14ac:dyDescent="0.25">
      <c r="B30" s="5"/>
      <c r="C30" s="50"/>
      <c r="D30" s="50"/>
      <c r="E30" s="50"/>
      <c r="F30" s="54"/>
      <c r="G30" s="51"/>
      <c r="H30" s="25"/>
    </row>
    <row r="31" spans="1:9" ht="15.6" x14ac:dyDescent="0.3">
      <c r="A31" s="47" t="s">
        <v>22</v>
      </c>
      <c r="B31" s="35"/>
      <c r="C31" s="50"/>
      <c r="D31" s="50"/>
      <c r="E31" s="50"/>
      <c r="F31" s="54"/>
      <c r="G31" s="51"/>
      <c r="H31" s="25"/>
    </row>
    <row r="32" spans="1:9" ht="19.5" customHeight="1" x14ac:dyDescent="0.25">
      <c r="A32" s="49" t="s">
        <v>9</v>
      </c>
      <c r="B32" s="56"/>
      <c r="C32" s="50"/>
      <c r="D32" s="50"/>
      <c r="E32" s="50"/>
      <c r="F32" s="54"/>
      <c r="G32" s="51"/>
      <c r="H32" s="25"/>
    </row>
    <row r="33" spans="1:9" ht="19.5" customHeight="1" x14ac:dyDescent="0.25">
      <c r="A33" s="4" t="s">
        <v>23</v>
      </c>
      <c r="B33" s="5">
        <v>9</v>
      </c>
      <c r="C33" s="61">
        <f>+'A-SITUACION ANEXOS'!D137</f>
        <v>10903654.59</v>
      </c>
      <c r="D33" s="50">
        <f>+'A-SITUACION ANEXOS'!E137</f>
        <v>2716065.08</v>
      </c>
      <c r="E33" s="50">
        <f>+C33-D33</f>
        <v>8187589.5099999998</v>
      </c>
      <c r="F33" s="51"/>
      <c r="G33" s="51"/>
      <c r="H33" s="25"/>
      <c r="I33" s="36"/>
    </row>
    <row r="34" spans="1:9" ht="19.5" customHeight="1" x14ac:dyDescent="0.25">
      <c r="A34" s="4" t="s">
        <v>24</v>
      </c>
      <c r="B34" s="5">
        <v>10</v>
      </c>
      <c r="C34" s="61">
        <f>+'A-SITUACION ANEXOS'!D144</f>
        <v>44912.7</v>
      </c>
      <c r="D34" s="50">
        <v>0</v>
      </c>
      <c r="E34" s="50">
        <f t="shared" ref="E34:E36" si="0">+C34-D34</f>
        <v>44912.7</v>
      </c>
      <c r="F34" s="54"/>
      <c r="G34" s="51"/>
      <c r="H34" s="25"/>
      <c r="I34" s="36"/>
    </row>
    <row r="35" spans="1:9" ht="19.5" customHeight="1" x14ac:dyDescent="0.25">
      <c r="A35" s="4" t="s">
        <v>25</v>
      </c>
      <c r="B35" s="5">
        <v>11</v>
      </c>
      <c r="C35" s="61">
        <f>+'A-SITUACION ANEXOS'!D154</f>
        <v>27461264.400000002</v>
      </c>
      <c r="D35" s="50">
        <f>+'A-SITUACION ANEXOS'!E154</f>
        <v>22001809.43</v>
      </c>
      <c r="E35" s="50">
        <f t="shared" si="0"/>
        <v>5459454.9700000025</v>
      </c>
      <c r="F35" s="62"/>
      <c r="G35" s="51"/>
      <c r="H35" s="25"/>
      <c r="I35" s="36"/>
    </row>
    <row r="36" spans="1:9" ht="19.5" customHeight="1" x14ac:dyDescent="0.25">
      <c r="A36" s="4" t="s">
        <v>26</v>
      </c>
      <c r="B36" s="5">
        <v>12</v>
      </c>
      <c r="C36" s="61">
        <f>+'NOTA 12-RETENCIONES X PAGAR'!B16</f>
        <v>1989428.8199999998</v>
      </c>
      <c r="D36" s="50">
        <f>+'A-SITUACION ANEXOS'!E164</f>
        <v>1816241.85</v>
      </c>
      <c r="E36" s="50">
        <f t="shared" si="0"/>
        <v>173186.96999999974</v>
      </c>
      <c r="G36" s="51"/>
      <c r="H36" s="25"/>
      <c r="I36" s="36"/>
    </row>
    <row r="37" spans="1:9" ht="19.5" customHeight="1" x14ac:dyDescent="0.25">
      <c r="A37" s="4" t="s">
        <v>27</v>
      </c>
      <c r="B37" s="5">
        <v>13</v>
      </c>
      <c r="C37" s="63">
        <f>+'A-SITUACION ANEXOS'!D170</f>
        <v>194144294.68000001</v>
      </c>
      <c r="D37" s="58">
        <f>+'A-SITUACION ANEXOS'!E170</f>
        <v>94144294.680000007</v>
      </c>
      <c r="E37" s="58">
        <f>+C37-D37</f>
        <v>100000000</v>
      </c>
      <c r="G37" s="51"/>
      <c r="H37" s="25"/>
      <c r="I37" s="36"/>
    </row>
    <row r="38" spans="1:9" ht="19.5" customHeight="1" x14ac:dyDescent="0.3">
      <c r="A38" s="47" t="s">
        <v>732</v>
      </c>
      <c r="B38" s="35"/>
      <c r="C38" s="59">
        <f>SUM(C33:C37)</f>
        <v>234543555.19</v>
      </c>
      <c r="D38" s="59">
        <f>SUM(D33:D37)</f>
        <v>120678411.04000001</v>
      </c>
      <c r="E38" s="59">
        <f>SUM(E33:E37)</f>
        <v>113865144.15000001</v>
      </c>
      <c r="G38" s="51"/>
      <c r="H38" s="25"/>
      <c r="I38" s="36"/>
    </row>
    <row r="39" spans="1:9" x14ac:dyDescent="0.25">
      <c r="B39" s="5"/>
      <c r="C39" s="50"/>
      <c r="D39" s="50"/>
      <c r="E39" s="50"/>
      <c r="G39" s="51"/>
      <c r="H39" s="25"/>
      <c r="I39" s="36"/>
    </row>
    <row r="40" spans="1:9" x14ac:dyDescent="0.25">
      <c r="B40" s="5"/>
      <c r="C40" s="50"/>
      <c r="D40" s="50"/>
      <c r="E40" s="50"/>
      <c r="G40" s="51"/>
      <c r="H40" s="25"/>
      <c r="I40" s="36"/>
    </row>
    <row r="41" spans="1:9" ht="24" customHeight="1" thickBot="1" x14ac:dyDescent="0.35">
      <c r="A41" s="47" t="s">
        <v>28</v>
      </c>
      <c r="B41" s="35"/>
      <c r="C41" s="60">
        <f>C38</f>
        <v>234543555.19</v>
      </c>
      <c r="D41" s="60">
        <f>D38</f>
        <v>120678411.04000001</v>
      </c>
      <c r="E41" s="60">
        <f>E38</f>
        <v>113865144.15000001</v>
      </c>
      <c r="G41" s="51"/>
      <c r="H41" s="25"/>
    </row>
    <row r="42" spans="1:9" ht="15.6" thickTop="1" x14ac:dyDescent="0.25">
      <c r="B42" s="5"/>
      <c r="C42" s="50"/>
      <c r="D42" s="50"/>
      <c r="E42" s="50"/>
      <c r="G42" s="51"/>
      <c r="H42" s="25"/>
    </row>
    <row r="43" spans="1:9" ht="15.6" x14ac:dyDescent="0.3">
      <c r="A43" s="47" t="s">
        <v>29</v>
      </c>
      <c r="B43" s="35"/>
      <c r="C43" s="50"/>
      <c r="D43" s="50"/>
      <c r="E43" s="50"/>
      <c r="F43" s="54"/>
      <c r="G43" s="51"/>
      <c r="H43" s="25"/>
    </row>
    <row r="44" spans="1:9" ht="17.25" customHeight="1" x14ac:dyDescent="0.25">
      <c r="A44" s="4" t="s">
        <v>30</v>
      </c>
      <c r="B44" s="5">
        <v>14</v>
      </c>
      <c r="C44" s="50">
        <f>+'NOTA 14-CAPITAL'!F27</f>
        <v>16374110889</v>
      </c>
      <c r="D44" s="50">
        <v>16374110889</v>
      </c>
      <c r="E44" s="50">
        <f>+C44-D44</f>
        <v>0</v>
      </c>
      <c r="F44" s="54"/>
      <c r="G44" s="51"/>
      <c r="H44" s="25"/>
    </row>
    <row r="45" spans="1:9" ht="17.25" customHeight="1" x14ac:dyDescent="0.25">
      <c r="A45" s="4" t="s">
        <v>31</v>
      </c>
      <c r="B45" s="5"/>
      <c r="C45" s="50">
        <v>2499973657.4000001</v>
      </c>
      <c r="D45" s="50">
        <v>2499973657.4000001</v>
      </c>
      <c r="E45" s="50">
        <f>+C45-D45</f>
        <v>0</v>
      </c>
      <c r="F45" s="54"/>
      <c r="G45" s="51"/>
      <c r="H45" s="25"/>
    </row>
    <row r="46" spans="1:9" ht="17.25" customHeight="1" x14ac:dyDescent="0.25">
      <c r="A46" s="4" t="s">
        <v>32</v>
      </c>
      <c r="B46" s="5"/>
      <c r="C46" s="58">
        <f>+'Estado de Resultados'!C36</f>
        <v>-370471719.53999996</v>
      </c>
      <c r="D46" s="58">
        <f>+'Estado de Resultados'!D36</f>
        <v>-353083154.54999995</v>
      </c>
      <c r="E46" s="58">
        <f>+C46-D46</f>
        <v>-17388564.99000001</v>
      </c>
      <c r="F46" s="54"/>
      <c r="G46" s="51"/>
      <c r="H46" s="25"/>
    </row>
    <row r="47" spans="1:9" x14ac:dyDescent="0.25">
      <c r="B47" s="5"/>
      <c r="C47" s="50"/>
      <c r="D47" s="50"/>
      <c r="E47" s="50"/>
      <c r="F47" s="57"/>
      <c r="G47" s="51"/>
      <c r="H47" s="25"/>
    </row>
    <row r="48" spans="1:9" ht="24" customHeight="1" thickBot="1" x14ac:dyDescent="0.35">
      <c r="A48" s="47" t="s">
        <v>33</v>
      </c>
      <c r="B48" s="35"/>
      <c r="C48" s="60">
        <f>SUM(C44:C46)</f>
        <v>18503612826.860001</v>
      </c>
      <c r="D48" s="60">
        <f>SUM(D44:D46)</f>
        <v>18521001391.850002</v>
      </c>
      <c r="E48" s="60">
        <f>SUM(E44:E46)</f>
        <v>-17388564.99000001</v>
      </c>
      <c r="G48" s="51"/>
      <c r="H48" s="25"/>
    </row>
    <row r="49" spans="1:13" ht="15.6" thickTop="1" x14ac:dyDescent="0.25">
      <c r="B49" s="5"/>
      <c r="C49" s="50"/>
      <c r="D49" s="50"/>
      <c r="E49" s="50"/>
      <c r="F49" s="57"/>
      <c r="G49" s="36"/>
      <c r="H49" s="25"/>
    </row>
    <row r="50" spans="1:13" ht="27" customHeight="1" thickBot="1" x14ac:dyDescent="0.35">
      <c r="A50" s="47" t="s">
        <v>34</v>
      </c>
      <c r="B50" s="35"/>
      <c r="C50" s="60">
        <f>+C41+C48</f>
        <v>18738156382.049999</v>
      </c>
      <c r="D50" s="60">
        <f t="shared" ref="D50" si="1">+D41+D48</f>
        <v>18641679802.890003</v>
      </c>
      <c r="E50" s="60">
        <f>+E41+E48</f>
        <v>96476579.159999996</v>
      </c>
      <c r="G50" s="51"/>
      <c r="H50" s="25"/>
    </row>
    <row r="51" spans="1:13" ht="15.6" thickTop="1" x14ac:dyDescent="0.25">
      <c r="B51" s="64"/>
      <c r="C51" s="65">
        <f>+C29-C50</f>
        <v>6.67572021484375E-4</v>
      </c>
      <c r="D51" s="65">
        <f>+D29-D50</f>
        <v>4.329681396484375E-3</v>
      </c>
      <c r="E51" s="65">
        <f>+E29-E50</f>
        <v>-3.6660730838775635E-3</v>
      </c>
      <c r="F51" s="66"/>
      <c r="G51" s="4"/>
      <c r="H51" s="25"/>
      <c r="M51" s="48"/>
    </row>
    <row r="52" spans="1:13" x14ac:dyDescent="0.25">
      <c r="B52" s="5"/>
      <c r="C52" s="67"/>
      <c r="D52" s="68"/>
      <c r="E52" s="68"/>
      <c r="F52" s="57"/>
      <c r="G52" s="4"/>
      <c r="H52" s="25"/>
      <c r="M52" s="36"/>
    </row>
    <row r="53" spans="1:13" x14ac:dyDescent="0.25">
      <c r="B53" s="5"/>
      <c r="F53" s="57"/>
      <c r="G53" s="4"/>
      <c r="M53" s="36"/>
    </row>
    <row r="54" spans="1:13" x14ac:dyDescent="0.25">
      <c r="A54" s="69"/>
      <c r="B54" s="70"/>
      <c r="C54" s="71"/>
      <c r="F54" s="57"/>
      <c r="G54" s="4"/>
      <c r="M54" s="36"/>
    </row>
    <row r="55" spans="1:13" ht="15" customHeight="1" x14ac:dyDescent="0.25">
      <c r="A55" s="69"/>
      <c r="B55" s="69"/>
      <c r="G55" s="4"/>
      <c r="M55" s="36"/>
    </row>
    <row r="56" spans="1:13" s="47" customFormat="1" ht="15.6" x14ac:dyDescent="0.3">
      <c r="A56" s="72" t="s">
        <v>35</v>
      </c>
      <c r="C56" s="73"/>
      <c r="D56" s="580" t="s">
        <v>36</v>
      </c>
      <c r="E56" s="580"/>
      <c r="F56" s="73"/>
      <c r="H56" s="73"/>
      <c r="M56" s="73"/>
    </row>
    <row r="57" spans="1:13" x14ac:dyDescent="0.25">
      <c r="A57" s="64" t="s">
        <v>37</v>
      </c>
      <c r="B57" s="69"/>
      <c r="D57" s="579" t="s">
        <v>38</v>
      </c>
      <c r="E57" s="579"/>
      <c r="G57" s="4"/>
      <c r="H57" s="36"/>
    </row>
    <row r="58" spans="1:13" x14ac:dyDescent="0.25">
      <c r="A58" s="64"/>
      <c r="B58" s="69"/>
      <c r="G58" s="4"/>
      <c r="H58" s="36"/>
      <c r="M58" s="36"/>
    </row>
    <row r="59" spans="1:13" ht="16.5" customHeight="1" x14ac:dyDescent="0.25">
      <c r="A59" s="69"/>
      <c r="B59" s="69"/>
      <c r="G59" s="4"/>
      <c r="M59" s="25"/>
    </row>
    <row r="60" spans="1:13" ht="16.5" customHeight="1" x14ac:dyDescent="0.25">
      <c r="A60" s="69"/>
      <c r="B60" s="69"/>
      <c r="G60" s="4"/>
      <c r="M60" s="25"/>
    </row>
    <row r="61" spans="1:13" ht="17.25" customHeight="1" x14ac:dyDescent="0.25">
      <c r="G61" s="4"/>
      <c r="M61" s="25"/>
    </row>
    <row r="62" spans="1:13" s="47" customFormat="1" ht="15.6" x14ac:dyDescent="0.3">
      <c r="A62" s="585" t="s">
        <v>39</v>
      </c>
      <c r="B62" s="585"/>
      <c r="C62" s="585"/>
      <c r="D62" s="585"/>
      <c r="E62" s="585"/>
      <c r="F62" s="73"/>
    </row>
    <row r="63" spans="1:13" x14ac:dyDescent="0.25">
      <c r="A63" s="578" t="s">
        <v>40</v>
      </c>
      <c r="B63" s="578"/>
      <c r="C63" s="578"/>
      <c r="D63" s="578"/>
      <c r="E63" s="578"/>
      <c r="G63" s="4"/>
    </row>
    <row r="64" spans="1:13" x14ac:dyDescent="0.25">
      <c r="G64" s="4"/>
    </row>
    <row r="65" spans="3:7" x14ac:dyDescent="0.25">
      <c r="G65" s="4"/>
    </row>
    <row r="66" spans="3:7" x14ac:dyDescent="0.25">
      <c r="G66" s="4"/>
    </row>
    <row r="67" spans="3:7" x14ac:dyDescent="0.25">
      <c r="C67" s="4"/>
      <c r="G67" s="4"/>
    </row>
    <row r="68" spans="3:7" x14ac:dyDescent="0.25">
      <c r="C68" s="74"/>
      <c r="D68" s="75"/>
      <c r="F68" s="75"/>
      <c r="G68" s="36"/>
    </row>
    <row r="69" spans="3:7" x14ac:dyDescent="0.25">
      <c r="C69" s="74"/>
      <c r="D69" s="75"/>
      <c r="F69" s="75"/>
      <c r="G69" s="36"/>
    </row>
    <row r="70" spans="3:7" x14ac:dyDescent="0.25">
      <c r="C70" s="74"/>
      <c r="D70" s="75"/>
      <c r="F70" s="75"/>
      <c r="G70" s="36"/>
    </row>
    <row r="71" spans="3:7" x14ac:dyDescent="0.25">
      <c r="C71" s="74"/>
      <c r="D71" s="75"/>
      <c r="F71" s="75"/>
      <c r="G71" s="36"/>
    </row>
    <row r="72" spans="3:7" x14ac:dyDescent="0.25">
      <c r="C72" s="74"/>
      <c r="D72" s="75"/>
      <c r="F72" s="75"/>
      <c r="G72" s="36"/>
    </row>
    <row r="73" spans="3:7" x14ac:dyDescent="0.25">
      <c r="C73" s="74"/>
      <c r="D73" s="75"/>
      <c r="F73" s="75"/>
      <c r="G73" s="36"/>
    </row>
    <row r="74" spans="3:7" x14ac:dyDescent="0.25">
      <c r="C74" s="74"/>
      <c r="D74" s="75"/>
      <c r="F74" s="75"/>
      <c r="G74" s="36"/>
    </row>
    <row r="75" spans="3:7" x14ac:dyDescent="0.25">
      <c r="C75" s="74"/>
      <c r="G75" s="36"/>
    </row>
    <row r="76" spans="3:7" x14ac:dyDescent="0.25">
      <c r="C76" s="76"/>
      <c r="G76" s="4"/>
    </row>
    <row r="77" spans="3:7" x14ac:dyDescent="0.25">
      <c r="C77" s="76"/>
      <c r="G77" s="4"/>
    </row>
    <row r="79" spans="3:7" x14ac:dyDescent="0.25">
      <c r="C79" s="32"/>
    </row>
    <row r="80" spans="3:7" x14ac:dyDescent="0.25">
      <c r="C80" s="32"/>
    </row>
    <row r="81" spans="3:3" x14ac:dyDescent="0.25">
      <c r="C81" s="32"/>
    </row>
    <row r="82" spans="3:3" x14ac:dyDescent="0.25">
      <c r="C82" s="32"/>
    </row>
    <row r="83" spans="3:3" x14ac:dyDescent="0.25">
      <c r="C83" s="32"/>
    </row>
    <row r="84" spans="3:3" x14ac:dyDescent="0.25">
      <c r="C84" s="32"/>
    </row>
    <row r="85" spans="3:3" x14ac:dyDescent="0.25">
      <c r="C85" s="32"/>
    </row>
  </sheetData>
  <mergeCells count="8">
    <mergeCell ref="A63:E63"/>
    <mergeCell ref="D57:E57"/>
    <mergeCell ref="D56:E56"/>
    <mergeCell ref="A7:E7"/>
    <mergeCell ref="A8:E8"/>
    <mergeCell ref="A9:E9"/>
    <mergeCell ref="A10:E10"/>
    <mergeCell ref="A62:E62"/>
  </mergeCells>
  <phoneticPr fontId="62" type="noConversion"/>
  <printOptions horizontalCentered="1"/>
  <pageMargins left="0.62992125984251968" right="0.70866141732283472" top="0.39370078740157483" bottom="0.19685039370078741" header="0" footer="0"/>
  <pageSetup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6"/>
  <sheetViews>
    <sheetView topLeftCell="A7" zoomScale="110" zoomScaleNormal="110" workbookViewId="0">
      <selection activeCell="G32" sqref="G32"/>
    </sheetView>
  </sheetViews>
  <sheetFormatPr baseColWidth="10" defaultColWidth="11.5546875" defaultRowHeight="24.75" customHeight="1" x14ac:dyDescent="0.25"/>
  <cols>
    <col min="1" max="1" width="4.6640625" style="224" customWidth="1"/>
    <col min="2" max="2" width="14.33203125" style="224" customWidth="1"/>
    <col min="3" max="3" width="16.33203125" style="224" customWidth="1"/>
    <col min="4" max="4" width="50.88671875" style="224" customWidth="1"/>
    <col min="5" max="5" width="18.5546875" style="224" bestFit="1" customWidth="1"/>
    <col min="6" max="6" width="16.44140625" style="224" bestFit="1" customWidth="1"/>
    <col min="7" max="7" width="3.33203125" style="224" customWidth="1"/>
    <col min="8" max="8" width="15.109375" style="224" customWidth="1"/>
    <col min="9" max="9" width="14.5546875" style="224" bestFit="1" customWidth="1"/>
    <col min="10" max="16384" width="11.5546875" style="224"/>
  </cols>
  <sheetData>
    <row r="1" spans="1:8" ht="24.75" customHeight="1" x14ac:dyDescent="0.25">
      <c r="A1" s="4"/>
      <c r="B1" s="4"/>
      <c r="C1" s="4"/>
      <c r="D1" s="4"/>
      <c r="E1" s="36"/>
      <c r="F1" s="4"/>
    </row>
    <row r="2" spans="1:8" ht="24.75" customHeight="1" x14ac:dyDescent="0.3">
      <c r="A2" s="4"/>
      <c r="B2" s="585"/>
      <c r="C2" s="585"/>
      <c r="D2" s="585"/>
      <c r="E2" s="585"/>
      <c r="F2" s="585"/>
    </row>
    <row r="3" spans="1:8" ht="24.75" customHeight="1" x14ac:dyDescent="0.3">
      <c r="A3" s="4"/>
      <c r="B3" s="585" t="s">
        <v>275</v>
      </c>
      <c r="C3" s="585"/>
      <c r="D3" s="585"/>
      <c r="E3" s="585"/>
      <c r="F3" s="585"/>
    </row>
    <row r="4" spans="1:8" ht="24.75" customHeight="1" x14ac:dyDescent="0.3">
      <c r="A4" s="4"/>
      <c r="B4" s="585" t="s">
        <v>255</v>
      </c>
      <c r="C4" s="585"/>
      <c r="D4" s="585"/>
      <c r="E4" s="585"/>
      <c r="F4" s="585"/>
    </row>
    <row r="5" spans="1:8" ht="24.75" customHeight="1" x14ac:dyDescent="0.3">
      <c r="A5" s="4"/>
      <c r="B5" s="585" t="s">
        <v>332</v>
      </c>
      <c r="C5" s="585"/>
      <c r="D5" s="585"/>
      <c r="E5" s="585"/>
      <c r="F5" s="585"/>
    </row>
    <row r="6" spans="1:8" ht="24.75" customHeight="1" x14ac:dyDescent="0.3">
      <c r="A6" s="4"/>
      <c r="B6" s="595">
        <v>45838</v>
      </c>
      <c r="C6" s="595"/>
      <c r="D6" s="595"/>
      <c r="E6" s="595"/>
      <c r="F6" s="595"/>
    </row>
    <row r="7" spans="1:8" ht="24.75" customHeight="1" thickBot="1" x14ac:dyDescent="0.35">
      <c r="A7" s="4"/>
      <c r="B7" s="4"/>
      <c r="C7" s="4"/>
      <c r="D7" s="35"/>
      <c r="E7" s="35"/>
      <c r="F7" s="4"/>
    </row>
    <row r="8" spans="1:8" ht="24.75" customHeight="1" thickBot="1" x14ac:dyDescent="0.35">
      <c r="A8" s="4"/>
      <c r="B8" s="225" t="s">
        <v>333</v>
      </c>
      <c r="C8" s="226" t="s">
        <v>334</v>
      </c>
      <c r="D8" s="142" t="s">
        <v>335</v>
      </c>
      <c r="E8" s="142" t="s">
        <v>336</v>
      </c>
      <c r="F8" s="143" t="s">
        <v>337</v>
      </c>
    </row>
    <row r="9" spans="1:8" ht="24.75" customHeight="1" x14ac:dyDescent="0.25">
      <c r="A9" s="4"/>
      <c r="B9" s="227">
        <v>44042</v>
      </c>
      <c r="C9" s="228">
        <v>36759</v>
      </c>
      <c r="D9" s="229" t="s">
        <v>338</v>
      </c>
      <c r="E9" s="208">
        <v>320878.34000000003</v>
      </c>
      <c r="F9" s="228" t="s">
        <v>339</v>
      </c>
    </row>
    <row r="10" spans="1:8" ht="24.75" customHeight="1" x14ac:dyDescent="0.25">
      <c r="A10" s="4"/>
      <c r="B10" s="230">
        <v>44042</v>
      </c>
      <c r="C10" s="231">
        <v>36760</v>
      </c>
      <c r="D10" s="229" t="s">
        <v>338</v>
      </c>
      <c r="E10" s="176">
        <v>320878.34000000003</v>
      </c>
      <c r="F10" s="231" t="s">
        <v>339</v>
      </c>
    </row>
    <row r="11" spans="1:8" ht="24.75" customHeight="1" x14ac:dyDescent="0.25">
      <c r="A11" s="4"/>
      <c r="B11" s="230">
        <v>44042</v>
      </c>
      <c r="C11" s="231">
        <v>36762</v>
      </c>
      <c r="D11" s="229" t="s">
        <v>338</v>
      </c>
      <c r="E11" s="176">
        <v>261614.87</v>
      </c>
      <c r="F11" s="231" t="s">
        <v>339</v>
      </c>
    </row>
    <row r="12" spans="1:8" ht="24.75" customHeight="1" x14ac:dyDescent="0.25">
      <c r="A12" s="4"/>
      <c r="B12" s="230">
        <v>44042</v>
      </c>
      <c r="C12" s="231">
        <v>36763</v>
      </c>
      <c r="D12" s="229" t="s">
        <v>338</v>
      </c>
      <c r="E12" s="176">
        <v>636759.86</v>
      </c>
      <c r="F12" s="231" t="s">
        <v>339</v>
      </c>
    </row>
    <row r="13" spans="1:8" ht="24.75" customHeight="1" x14ac:dyDescent="0.25">
      <c r="A13" s="4"/>
      <c r="B13" s="230">
        <v>44042</v>
      </c>
      <c r="C13" s="231">
        <v>36765</v>
      </c>
      <c r="D13" s="229" t="s">
        <v>338</v>
      </c>
      <c r="E13" s="176">
        <v>636759.86</v>
      </c>
      <c r="F13" s="231" t="s">
        <v>339</v>
      </c>
    </row>
    <row r="14" spans="1:8" ht="24.75" customHeight="1" x14ac:dyDescent="0.25">
      <c r="A14" s="4"/>
      <c r="B14" s="230">
        <v>44042</v>
      </c>
      <c r="C14" s="231">
        <v>36766</v>
      </c>
      <c r="D14" s="229" t="s">
        <v>338</v>
      </c>
      <c r="E14" s="176">
        <v>282294.27</v>
      </c>
      <c r="F14" s="231" t="s">
        <v>339</v>
      </c>
    </row>
    <row r="15" spans="1:8" ht="24.75" hidden="1" customHeight="1" x14ac:dyDescent="0.25">
      <c r="A15" s="4"/>
      <c r="B15" s="230">
        <v>44894</v>
      </c>
      <c r="C15" s="231">
        <v>38855</v>
      </c>
      <c r="D15" s="229" t="s">
        <v>340</v>
      </c>
      <c r="E15" s="176"/>
      <c r="F15" s="231" t="s">
        <v>339</v>
      </c>
      <c r="H15" s="232">
        <v>5149638</v>
      </c>
    </row>
    <row r="16" spans="1:8" ht="22.5" hidden="1" customHeight="1" x14ac:dyDescent="0.25">
      <c r="A16" s="4"/>
      <c r="B16" s="230">
        <v>45043</v>
      </c>
      <c r="C16" s="231">
        <v>39088</v>
      </c>
      <c r="D16" s="229" t="s">
        <v>341</v>
      </c>
      <c r="E16" s="176"/>
      <c r="F16" s="231" t="s">
        <v>339</v>
      </c>
    </row>
    <row r="17" spans="1:9" ht="22.5" hidden="1" customHeight="1" x14ac:dyDescent="0.25">
      <c r="A17" s="4"/>
      <c r="B17" s="230">
        <v>45049</v>
      </c>
      <c r="C17" s="231">
        <v>39106</v>
      </c>
      <c r="D17" s="229" t="s">
        <v>340</v>
      </c>
      <c r="E17" s="176"/>
      <c r="F17" s="231" t="s">
        <v>339</v>
      </c>
      <c r="H17" s="232">
        <v>7724457</v>
      </c>
    </row>
    <row r="18" spans="1:9" ht="24.75" customHeight="1" x14ac:dyDescent="0.25">
      <c r="A18" s="4"/>
      <c r="B18" s="230">
        <v>45681</v>
      </c>
      <c r="C18" s="231">
        <v>39988</v>
      </c>
      <c r="D18" s="233" t="s">
        <v>708</v>
      </c>
      <c r="E18" s="176">
        <v>260081.38</v>
      </c>
      <c r="F18" s="231" t="s">
        <v>339</v>
      </c>
      <c r="H18" s="232"/>
    </row>
    <row r="19" spans="1:9" ht="24.75" customHeight="1" x14ac:dyDescent="0.4">
      <c r="A19" s="4"/>
      <c r="B19" s="230">
        <v>45756</v>
      </c>
      <c r="C19" s="231">
        <v>40041</v>
      </c>
      <c r="D19" s="233" t="s">
        <v>892</v>
      </c>
      <c r="E19" s="217">
        <v>636029.56999999995</v>
      </c>
      <c r="F19" s="231" t="s">
        <v>339</v>
      </c>
      <c r="H19" s="232"/>
    </row>
    <row r="20" spans="1:9" ht="24.75" customHeight="1" x14ac:dyDescent="0.45">
      <c r="A20" s="4"/>
      <c r="B20" s="218"/>
      <c r="C20" s="218"/>
      <c r="D20" s="219" t="s">
        <v>330</v>
      </c>
      <c r="E20" s="234">
        <f>SUM(E9:E19)</f>
        <v>3355296.4899999998</v>
      </c>
      <c r="F20" s="218"/>
      <c r="H20" s="232"/>
    </row>
    <row r="21" spans="1:9" ht="6.75" customHeight="1" x14ac:dyDescent="0.25">
      <c r="A21" s="4"/>
      <c r="B21" s="218"/>
      <c r="C21" s="218"/>
      <c r="D21" s="218"/>
      <c r="E21" s="176"/>
      <c r="F21" s="218"/>
      <c r="H21" s="1"/>
      <c r="I21" s="235"/>
    </row>
    <row r="22" spans="1:9" ht="24.75" customHeight="1" x14ac:dyDescent="0.3">
      <c r="A22" s="4"/>
      <c r="B22" s="4"/>
      <c r="C22" s="4"/>
      <c r="D22" s="47"/>
      <c r="E22" s="32"/>
      <c r="F22" s="32"/>
      <c r="H22" s="1"/>
    </row>
    <row r="23" spans="1:9" ht="24.75" customHeight="1" x14ac:dyDescent="0.25">
      <c r="A23" s="4"/>
      <c r="B23" s="4"/>
      <c r="C23" s="4"/>
      <c r="D23" s="236" t="s">
        <v>342</v>
      </c>
      <c r="E23" s="232"/>
      <c r="F23" s="4"/>
      <c r="H23" s="232"/>
    </row>
    <row r="24" spans="1:9" ht="24.75" customHeight="1" x14ac:dyDescent="0.25">
      <c r="E24" s="577">
        <v>296100</v>
      </c>
    </row>
    <row r="25" spans="1:9" ht="24.75" customHeight="1" x14ac:dyDescent="0.25">
      <c r="E25" s="577">
        <v>370125</v>
      </c>
    </row>
    <row r="26" spans="1:9" ht="24.75" customHeight="1" x14ac:dyDescent="0.25">
      <c r="E26" s="577">
        <v>370125</v>
      </c>
    </row>
  </sheetData>
  <mergeCells count="5">
    <mergeCell ref="B2:F2"/>
    <mergeCell ref="B3:F3"/>
    <mergeCell ref="B4:F4"/>
    <mergeCell ref="B5:F5"/>
    <mergeCell ref="B6:F6"/>
  </mergeCells>
  <phoneticPr fontId="70" type="noConversion"/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4:C11"/>
  <sheetViews>
    <sheetView topLeftCell="A4" workbookViewId="0">
      <selection activeCell="G32" sqref="G32"/>
    </sheetView>
  </sheetViews>
  <sheetFormatPr baseColWidth="10" defaultColWidth="11.44140625" defaultRowHeight="24.75" customHeight="1" x14ac:dyDescent="0.25"/>
  <cols>
    <col min="1" max="1" width="5.109375" style="1" customWidth="1"/>
    <col min="2" max="2" width="52" style="1" customWidth="1"/>
    <col min="3" max="3" width="25" style="1" customWidth="1"/>
    <col min="4" max="4" width="24.5546875" style="1" customWidth="1"/>
    <col min="5" max="16384" width="11.44140625" style="1"/>
  </cols>
  <sheetData>
    <row r="4" spans="2:3" ht="24.75" customHeight="1" x14ac:dyDescent="0.3">
      <c r="B4" s="585" t="s">
        <v>275</v>
      </c>
      <c r="C4" s="585"/>
    </row>
    <row r="5" spans="2:3" ht="24.75" customHeight="1" x14ac:dyDescent="0.3">
      <c r="B5" s="585" t="s">
        <v>255</v>
      </c>
      <c r="C5" s="585"/>
    </row>
    <row r="6" spans="2:3" ht="24.75" customHeight="1" x14ac:dyDescent="0.3">
      <c r="B6" s="585" t="s">
        <v>276</v>
      </c>
      <c r="C6" s="585"/>
    </row>
    <row r="7" spans="2:3" ht="24.75" customHeight="1" x14ac:dyDescent="0.3">
      <c r="B7" s="595">
        <v>45838</v>
      </c>
      <c r="C7" s="595"/>
    </row>
    <row r="8" spans="2:3" ht="24.75" customHeight="1" thickBot="1" x14ac:dyDescent="0.3">
      <c r="B8" s="4"/>
      <c r="C8" s="4"/>
    </row>
    <row r="9" spans="2:3" ht="24.75" customHeight="1" thickBot="1" x14ac:dyDescent="0.35">
      <c r="B9" s="560" t="s">
        <v>241</v>
      </c>
      <c r="C9" s="143" t="s">
        <v>258</v>
      </c>
    </row>
    <row r="10" spans="2:3" ht="24.75" customHeight="1" x14ac:dyDescent="0.3">
      <c r="B10" s="558" t="s">
        <v>343</v>
      </c>
      <c r="C10" s="559">
        <v>0</v>
      </c>
    </row>
    <row r="11" spans="2:3" ht="24.75" customHeight="1" thickBot="1" x14ac:dyDescent="0.35">
      <c r="B11" s="238" t="s">
        <v>274</v>
      </c>
      <c r="C11" s="239">
        <f>SUM(C10:C10)</f>
        <v>0</v>
      </c>
    </row>
  </sheetData>
  <mergeCells count="4"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2"/>
  <sheetViews>
    <sheetView topLeftCell="A5" workbookViewId="0">
      <selection activeCell="G32" sqref="G32"/>
    </sheetView>
  </sheetViews>
  <sheetFormatPr baseColWidth="10" defaultColWidth="11.44140625" defaultRowHeight="24.75" customHeight="1" x14ac:dyDescent="0.25"/>
  <cols>
    <col min="1" max="1" width="6.109375" style="1" customWidth="1"/>
    <col min="2" max="2" width="35.33203125" style="1" customWidth="1"/>
    <col min="3" max="3" width="17" style="1" hidden="1" customWidth="1"/>
    <col min="4" max="4" width="18.44140625" style="1" hidden="1" customWidth="1"/>
    <col min="5" max="5" width="19.5546875" style="1" customWidth="1"/>
    <col min="6" max="6" width="13.88671875" style="1" customWidth="1"/>
    <col min="7" max="7" width="18" style="1" customWidth="1"/>
    <col min="8" max="8" width="24.33203125" style="1" customWidth="1"/>
    <col min="9" max="9" width="16.44140625" style="1" customWidth="1"/>
    <col min="10" max="16384" width="11.44140625" style="1"/>
  </cols>
  <sheetData>
    <row r="1" spans="1:11" ht="24.75" customHeight="1" x14ac:dyDescent="0.25">
      <c r="A1" s="4"/>
      <c r="B1" s="4"/>
      <c r="C1" s="4"/>
      <c r="D1" s="4"/>
      <c r="E1" s="4"/>
      <c r="F1" s="4"/>
      <c r="G1" s="4"/>
      <c r="H1" s="4"/>
      <c r="I1" s="4"/>
    </row>
    <row r="2" spans="1:11" ht="24.75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1" ht="24.75" customHeight="1" x14ac:dyDescent="0.3">
      <c r="A3" s="604" t="s">
        <v>275</v>
      </c>
      <c r="B3" s="604"/>
      <c r="C3" s="604"/>
      <c r="D3" s="604"/>
      <c r="E3" s="604"/>
      <c r="F3" s="604"/>
      <c r="G3" s="604"/>
      <c r="H3" s="604"/>
      <c r="I3" s="604"/>
    </row>
    <row r="4" spans="1:11" ht="24.75" customHeight="1" x14ac:dyDescent="0.3">
      <c r="A4" s="604" t="s">
        <v>344</v>
      </c>
      <c r="B4" s="604"/>
      <c r="C4" s="604"/>
      <c r="D4" s="604"/>
      <c r="E4" s="604"/>
      <c r="F4" s="604"/>
      <c r="G4" s="604"/>
      <c r="H4" s="604"/>
      <c r="I4" s="604"/>
    </row>
    <row r="5" spans="1:11" ht="24.75" customHeight="1" x14ac:dyDescent="0.3">
      <c r="A5" s="604" t="s">
        <v>345</v>
      </c>
      <c r="B5" s="604"/>
      <c r="C5" s="604"/>
      <c r="D5" s="604"/>
      <c r="E5" s="604"/>
      <c r="F5" s="604"/>
      <c r="G5" s="604"/>
      <c r="H5" s="604"/>
      <c r="I5" s="604"/>
    </row>
    <row r="6" spans="1:11" ht="24.75" customHeight="1" x14ac:dyDescent="0.3">
      <c r="A6" s="605">
        <v>45838</v>
      </c>
      <c r="B6" s="605"/>
      <c r="C6" s="605"/>
      <c r="D6" s="605"/>
      <c r="E6" s="605"/>
      <c r="F6" s="605"/>
      <c r="G6" s="605"/>
      <c r="H6" s="605"/>
      <c r="I6" s="605"/>
    </row>
    <row r="7" spans="1:11" ht="24.75" customHeight="1" thickBot="1" x14ac:dyDescent="0.35">
      <c r="A7" s="30"/>
      <c r="B7" s="240"/>
      <c r="C7" s="30"/>
      <c r="D7" s="30"/>
      <c r="E7" s="30"/>
      <c r="F7" s="241"/>
      <c r="G7" s="30"/>
      <c r="H7" s="30"/>
      <c r="I7" s="30"/>
    </row>
    <row r="8" spans="1:11" ht="47.4" thickBot="1" x14ac:dyDescent="0.3">
      <c r="A8" s="561" t="s">
        <v>346</v>
      </c>
      <c r="B8" s="562" t="s">
        <v>347</v>
      </c>
      <c r="C8" s="562" t="s">
        <v>348</v>
      </c>
      <c r="D8" s="562" t="s">
        <v>349</v>
      </c>
      <c r="E8" s="563" t="s">
        <v>350</v>
      </c>
      <c r="F8" s="563" t="s">
        <v>351</v>
      </c>
      <c r="G8" s="563" t="s">
        <v>352</v>
      </c>
      <c r="H8" s="563" t="s">
        <v>353</v>
      </c>
      <c r="I8" s="564" t="s">
        <v>354</v>
      </c>
    </row>
    <row r="9" spans="1:11" s="4" customFormat="1" ht="25.5" customHeight="1" x14ac:dyDescent="0.25">
      <c r="A9" s="565">
        <v>1</v>
      </c>
      <c r="B9" s="566" t="s">
        <v>707</v>
      </c>
      <c r="C9" s="567" t="s">
        <v>355</v>
      </c>
      <c r="D9" s="566" t="s">
        <v>356</v>
      </c>
      <c r="E9" s="568">
        <v>87795</v>
      </c>
      <c r="F9" s="567">
        <v>10</v>
      </c>
      <c r="G9" s="568">
        <v>5000</v>
      </c>
      <c r="H9" s="568">
        <f>5000+5000+5000+20000+5000+5000</f>
        <v>45000</v>
      </c>
      <c r="I9" s="569">
        <f>+E9-H9</f>
        <v>42795</v>
      </c>
    </row>
    <row r="10" spans="1:11" s="4" customFormat="1" ht="25.5" customHeight="1" x14ac:dyDescent="0.25">
      <c r="A10" s="242">
        <v>2</v>
      </c>
      <c r="B10" s="243" t="s">
        <v>817</v>
      </c>
      <c r="C10" s="244"/>
      <c r="D10" s="243"/>
      <c r="E10" s="245">
        <v>7695</v>
      </c>
      <c r="F10" s="244">
        <v>5</v>
      </c>
      <c r="G10" s="245">
        <v>1539</v>
      </c>
      <c r="H10" s="245">
        <f>1539+1539+1539+1539</f>
        <v>6156</v>
      </c>
      <c r="I10" s="246">
        <f>+E10-H10</f>
        <v>1539</v>
      </c>
    </row>
    <row r="11" spans="1:11" s="4" customFormat="1" ht="25.5" customHeight="1" x14ac:dyDescent="0.4">
      <c r="A11" s="242">
        <v>3</v>
      </c>
      <c r="B11" s="243" t="s">
        <v>840</v>
      </c>
      <c r="C11" s="244"/>
      <c r="D11" s="243"/>
      <c r="E11" s="247">
        <v>3795</v>
      </c>
      <c r="F11" s="244">
        <v>1</v>
      </c>
      <c r="G11" s="247">
        <v>3795</v>
      </c>
      <c r="H11" s="247">
        <f>+G11</f>
        <v>3795</v>
      </c>
      <c r="I11" s="248">
        <f>+E11-H11</f>
        <v>0</v>
      </c>
    </row>
    <row r="12" spans="1:11" s="4" customFormat="1" ht="25.5" customHeight="1" x14ac:dyDescent="0.45">
      <c r="A12" s="175"/>
      <c r="B12" s="249" t="s">
        <v>330</v>
      </c>
      <c r="C12" s="243"/>
      <c r="D12" s="243"/>
      <c r="E12" s="250">
        <f>SUM(E9:E11)</f>
        <v>99285</v>
      </c>
      <c r="F12" s="251"/>
      <c r="G12" s="250">
        <f t="shared" ref="G12:I12" si="0">SUM(G9:G11)</f>
        <v>10334</v>
      </c>
      <c r="H12" s="250">
        <f t="shared" si="0"/>
        <v>54951</v>
      </c>
      <c r="I12" s="570">
        <f t="shared" si="0"/>
        <v>44334</v>
      </c>
      <c r="K12" s="25"/>
    </row>
    <row r="13" spans="1:11" s="4" customFormat="1" ht="17.25" customHeight="1" thickBot="1" x14ac:dyDescent="0.5">
      <c r="A13" s="252"/>
      <c r="B13" s="253"/>
      <c r="C13" s="254"/>
      <c r="D13" s="255"/>
      <c r="E13" s="256"/>
      <c r="F13" s="257"/>
      <c r="G13" s="256"/>
      <c r="H13" s="256"/>
      <c r="I13" s="258"/>
    </row>
    <row r="14" spans="1:11" ht="24.75" customHeight="1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11" ht="24.75" customHeight="1" x14ac:dyDescent="0.25">
      <c r="G15" s="259">
        <f>10334-G12</f>
        <v>0</v>
      </c>
      <c r="H15" s="259"/>
    </row>
    <row r="16" spans="1:11" ht="24.75" customHeight="1" x14ac:dyDescent="0.25">
      <c r="F16" s="259"/>
    </row>
    <row r="17" spans="6:9" ht="24.75" customHeight="1" x14ac:dyDescent="0.25">
      <c r="F17" s="259"/>
      <c r="I17" s="259"/>
    </row>
    <row r="18" spans="6:9" ht="24.75" customHeight="1" x14ac:dyDescent="0.25">
      <c r="F18" s="259"/>
    </row>
    <row r="19" spans="6:9" ht="24.75" customHeight="1" x14ac:dyDescent="0.25">
      <c r="F19" s="259"/>
    </row>
    <row r="20" spans="6:9" ht="24.75" customHeight="1" x14ac:dyDescent="0.25">
      <c r="F20" s="259"/>
    </row>
    <row r="21" spans="6:9" ht="24.75" customHeight="1" x14ac:dyDescent="0.25">
      <c r="F21" s="259"/>
    </row>
    <row r="22" spans="6:9" ht="24.75" customHeight="1" x14ac:dyDescent="0.25">
      <c r="F22" s="259"/>
    </row>
  </sheetData>
  <mergeCells count="4">
    <mergeCell ref="A3:I3"/>
    <mergeCell ref="A4:I4"/>
    <mergeCell ref="A5:I5"/>
    <mergeCell ref="A6:I6"/>
  </mergeCells>
  <pageMargins left="0.5118110236220472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4:G19"/>
  <sheetViews>
    <sheetView topLeftCell="A4" zoomScaleNormal="100" workbookViewId="0">
      <selection activeCell="G32" sqref="G32"/>
    </sheetView>
  </sheetViews>
  <sheetFormatPr baseColWidth="10" defaultColWidth="9.109375" defaultRowHeight="24.75" customHeight="1" x14ac:dyDescent="0.25"/>
  <cols>
    <col min="1" max="1" width="5.5546875" style="4" customWidth="1"/>
    <col min="2" max="2" width="39" style="4" customWidth="1"/>
    <col min="3" max="3" width="22.44140625" style="4" customWidth="1"/>
    <col min="4" max="4" width="15.6640625" style="4" bestFit="1" customWidth="1"/>
    <col min="5" max="5" width="15.88671875" style="4" customWidth="1"/>
    <col min="6" max="6" width="11.109375" style="4" bestFit="1" customWidth="1"/>
    <col min="7" max="7" width="12.6640625" style="4" bestFit="1" customWidth="1"/>
    <col min="8" max="9" width="9.109375" style="4"/>
    <col min="10" max="10" width="13.5546875" style="4" customWidth="1"/>
    <col min="11" max="11" width="9.109375" style="4"/>
    <col min="12" max="12" width="15.5546875" style="4" bestFit="1" customWidth="1"/>
    <col min="13" max="16384" width="9.109375" style="4"/>
  </cols>
  <sheetData>
    <row r="4" spans="2:7" ht="24.75" customHeight="1" x14ac:dyDescent="0.3">
      <c r="B4" s="585" t="s">
        <v>275</v>
      </c>
      <c r="C4" s="585"/>
    </row>
    <row r="5" spans="2:7" ht="24.75" customHeight="1" x14ac:dyDescent="0.3">
      <c r="B5" s="585" t="s">
        <v>255</v>
      </c>
      <c r="C5" s="585"/>
    </row>
    <row r="6" spans="2:7" ht="24.75" customHeight="1" x14ac:dyDescent="0.3">
      <c r="B6" s="585" t="s">
        <v>276</v>
      </c>
      <c r="C6" s="585"/>
    </row>
    <row r="7" spans="2:7" ht="24.75" customHeight="1" x14ac:dyDescent="0.3">
      <c r="B7" s="595">
        <v>45838</v>
      </c>
      <c r="C7" s="595"/>
      <c r="D7" s="6"/>
    </row>
    <row r="8" spans="2:7" ht="24.75" customHeight="1" thickBot="1" x14ac:dyDescent="0.3">
      <c r="D8" s="36"/>
    </row>
    <row r="9" spans="2:7" ht="24.75" customHeight="1" thickBot="1" x14ac:dyDescent="0.35">
      <c r="B9" s="260" t="s">
        <v>357</v>
      </c>
      <c r="C9" s="237" t="s">
        <v>258</v>
      </c>
    </row>
    <row r="10" spans="2:7" ht="24.75" customHeight="1" x14ac:dyDescent="0.25">
      <c r="B10" s="261" t="s">
        <v>358</v>
      </c>
      <c r="C10" s="262">
        <v>153154.9</v>
      </c>
      <c r="D10" s="32"/>
      <c r="F10" s="214"/>
      <c r="G10" s="32"/>
    </row>
    <row r="11" spans="2:7" ht="24.75" customHeight="1" x14ac:dyDescent="0.25">
      <c r="B11" s="145" t="s">
        <v>359</v>
      </c>
      <c r="C11" s="263">
        <v>76577.45</v>
      </c>
      <c r="D11" s="32"/>
      <c r="G11" s="32"/>
    </row>
    <row r="12" spans="2:7" ht="24.75" customHeight="1" x14ac:dyDescent="0.45">
      <c r="B12" s="158" t="s">
        <v>274</v>
      </c>
      <c r="C12" s="160">
        <f>SUM(C10:C11)</f>
        <v>229732.34999999998</v>
      </c>
      <c r="G12" s="32"/>
    </row>
    <row r="13" spans="2:7" ht="24.75" customHeight="1" thickBot="1" x14ac:dyDescent="0.3">
      <c r="B13" s="161"/>
      <c r="C13" s="264"/>
    </row>
    <row r="14" spans="2:7" ht="24.75" customHeight="1" x14ac:dyDescent="0.25">
      <c r="E14" s="32"/>
    </row>
    <row r="15" spans="2:7" ht="24.75" customHeight="1" x14ac:dyDescent="0.25">
      <c r="C15" s="265"/>
      <c r="E15" s="32"/>
    </row>
    <row r="17" spans="2:3" ht="24.75" customHeight="1" x14ac:dyDescent="0.25">
      <c r="C17" s="25"/>
    </row>
    <row r="18" spans="2:3" ht="24.75" customHeight="1" x14ac:dyDescent="0.25">
      <c r="C18" s="25"/>
    </row>
    <row r="19" spans="2:3" ht="24.75" customHeight="1" x14ac:dyDescent="0.25">
      <c r="B19" s="266" t="s">
        <v>360</v>
      </c>
      <c r="C19" s="25"/>
    </row>
  </sheetData>
  <mergeCells count="4">
    <mergeCell ref="B5:C5"/>
    <mergeCell ref="B6:C6"/>
    <mergeCell ref="B7:C7"/>
    <mergeCell ref="B4:C4"/>
  </mergeCells>
  <pageMargins left="1.299212598425197" right="0.70866141732283472" top="0.74803149606299213" bottom="0.74803149606299213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E37"/>
  <sheetViews>
    <sheetView zoomScale="90" zoomScaleNormal="90" workbookViewId="0">
      <selection activeCell="G32" sqref="G32"/>
    </sheetView>
  </sheetViews>
  <sheetFormatPr baseColWidth="10" defaultColWidth="11.44140625" defaultRowHeight="24.75" customHeight="1" x14ac:dyDescent="0.25"/>
  <cols>
    <col min="1" max="1" width="10.6640625" style="4" customWidth="1"/>
    <col min="2" max="2" width="49.88671875" style="4" customWidth="1"/>
    <col min="3" max="3" width="30.5546875" style="4" bestFit="1" customWidth="1"/>
    <col min="4" max="4" width="22.88671875" style="4" customWidth="1"/>
    <col min="5" max="5" width="16.33203125" style="4" bestFit="1" customWidth="1"/>
    <col min="6" max="6" width="19" style="4" bestFit="1" customWidth="1"/>
    <col min="7" max="7" width="16.88671875" style="4" bestFit="1" customWidth="1"/>
    <col min="8" max="8" width="11.44140625" style="4"/>
    <col min="9" max="9" width="15.88671875" style="4" bestFit="1" customWidth="1"/>
    <col min="10" max="10" width="11.5546875" style="4" bestFit="1" customWidth="1"/>
    <col min="11" max="16384" width="11.44140625" style="4"/>
  </cols>
  <sheetData>
    <row r="3" spans="2:5" ht="24.75" customHeight="1" x14ac:dyDescent="0.3">
      <c r="B3" s="585" t="s">
        <v>361</v>
      </c>
      <c r="C3" s="585"/>
      <c r="E3" s="122"/>
    </row>
    <row r="4" spans="2:5" ht="21.75" customHeight="1" x14ac:dyDescent="0.3">
      <c r="B4" s="585" t="s">
        <v>255</v>
      </c>
      <c r="C4" s="585"/>
      <c r="E4" s="122"/>
    </row>
    <row r="5" spans="2:5" ht="21.75" customHeight="1" x14ac:dyDescent="0.3">
      <c r="B5" s="585" t="s">
        <v>13</v>
      </c>
      <c r="C5" s="585"/>
      <c r="E5" s="122"/>
    </row>
    <row r="6" spans="2:5" ht="21.75" customHeight="1" x14ac:dyDescent="0.3">
      <c r="B6" s="595">
        <v>45838</v>
      </c>
      <c r="C6" s="595"/>
      <c r="E6" s="122"/>
    </row>
    <row r="7" spans="2:5" ht="8.25" customHeight="1" thickBot="1" x14ac:dyDescent="0.35">
      <c r="B7" s="138"/>
      <c r="C7" s="138"/>
      <c r="E7" s="122"/>
    </row>
    <row r="8" spans="2:5" ht="24.75" customHeight="1" thickBot="1" x14ac:dyDescent="0.35">
      <c r="B8" s="141" t="s">
        <v>241</v>
      </c>
      <c r="C8" s="143" t="s">
        <v>258</v>
      </c>
    </row>
    <row r="9" spans="2:5" ht="24.75" customHeight="1" x14ac:dyDescent="0.3">
      <c r="B9" s="267" t="s">
        <v>362</v>
      </c>
      <c r="C9" s="268"/>
    </row>
    <row r="10" spans="2:5" ht="24.75" customHeight="1" x14ac:dyDescent="0.25">
      <c r="B10" s="194" t="s">
        <v>363</v>
      </c>
      <c r="C10" s="268">
        <v>264508.02</v>
      </c>
    </row>
    <row r="11" spans="2:5" ht="24.75" customHeight="1" x14ac:dyDescent="0.25">
      <c r="B11" s="194" t="s">
        <v>364</v>
      </c>
      <c r="C11" s="268">
        <v>170281.53</v>
      </c>
    </row>
    <row r="12" spans="2:5" ht="24.75" customHeight="1" x14ac:dyDescent="0.25">
      <c r="B12" s="194" t="s">
        <v>365</v>
      </c>
      <c r="C12" s="268">
        <v>183157.91</v>
      </c>
    </row>
    <row r="13" spans="2:5" ht="24.75" customHeight="1" x14ac:dyDescent="0.25">
      <c r="B13" s="194" t="s">
        <v>366</v>
      </c>
      <c r="C13" s="268">
        <v>1037369.24</v>
      </c>
    </row>
    <row r="14" spans="2:5" ht="24.75" customHeight="1" x14ac:dyDescent="0.25">
      <c r="B14" s="194" t="s">
        <v>367</v>
      </c>
      <c r="C14" s="268">
        <v>50159.55</v>
      </c>
    </row>
    <row r="15" spans="2:5" ht="24.75" customHeight="1" x14ac:dyDescent="0.25">
      <c r="B15" s="194" t="s">
        <v>368</v>
      </c>
      <c r="C15" s="268">
        <v>164967.92000000001</v>
      </c>
    </row>
    <row r="16" spans="2:5" ht="24.75" customHeight="1" x14ac:dyDescent="0.25">
      <c r="B16" s="194" t="s">
        <v>710</v>
      </c>
      <c r="C16" s="268">
        <v>26712.84</v>
      </c>
    </row>
    <row r="17" spans="2:3" ht="24.75" customHeight="1" x14ac:dyDescent="0.4">
      <c r="B17" s="194" t="s">
        <v>369</v>
      </c>
      <c r="C17" s="269">
        <v>123531.37</v>
      </c>
    </row>
    <row r="18" spans="2:3" ht="24.75" customHeight="1" x14ac:dyDescent="0.3">
      <c r="B18" s="270" t="s">
        <v>370</v>
      </c>
      <c r="C18" s="271">
        <f>SUM(C10:C17)</f>
        <v>2020688.3800000004</v>
      </c>
    </row>
    <row r="19" spans="2:3" ht="24.75" customHeight="1" x14ac:dyDescent="0.25">
      <c r="B19" s="272"/>
      <c r="C19" s="273"/>
    </row>
    <row r="20" spans="2:3" ht="24.75" customHeight="1" x14ac:dyDescent="0.3">
      <c r="B20" s="199" t="s">
        <v>371</v>
      </c>
      <c r="C20" s="274"/>
    </row>
    <row r="21" spans="2:3" ht="24.75" customHeight="1" x14ac:dyDescent="0.25">
      <c r="B21" s="196" t="s">
        <v>372</v>
      </c>
      <c r="C21" s="274">
        <v>62002.98</v>
      </c>
    </row>
    <row r="22" spans="2:3" ht="24.75" customHeight="1" x14ac:dyDescent="0.25">
      <c r="B22" s="196" t="s">
        <v>373</v>
      </c>
      <c r="C22" s="274">
        <v>116108.7</v>
      </c>
    </row>
    <row r="23" spans="2:3" ht="24.75" customHeight="1" x14ac:dyDescent="0.25">
      <c r="B23" s="196" t="s">
        <v>374</v>
      </c>
      <c r="C23" s="274">
        <v>16586.13</v>
      </c>
    </row>
    <row r="24" spans="2:3" ht="24.75" customHeight="1" x14ac:dyDescent="0.25">
      <c r="B24" s="196" t="s">
        <v>711</v>
      </c>
      <c r="C24" s="274">
        <v>123665.58</v>
      </c>
    </row>
    <row r="25" spans="2:3" ht="24.75" customHeight="1" x14ac:dyDescent="0.25">
      <c r="B25" s="196" t="s">
        <v>376</v>
      </c>
      <c r="C25" s="274">
        <v>175582.47</v>
      </c>
    </row>
    <row r="26" spans="2:3" ht="24.75" customHeight="1" x14ac:dyDescent="0.25">
      <c r="B26" s="196" t="s">
        <v>375</v>
      </c>
      <c r="C26" s="274">
        <v>63076.45</v>
      </c>
    </row>
    <row r="27" spans="2:3" ht="24.75" customHeight="1" x14ac:dyDescent="0.25">
      <c r="B27" s="196" t="s">
        <v>760</v>
      </c>
      <c r="C27" s="274">
        <v>56158.8</v>
      </c>
    </row>
    <row r="28" spans="2:3" ht="24.75" customHeight="1" x14ac:dyDescent="0.4">
      <c r="B28" s="196" t="s">
        <v>377</v>
      </c>
      <c r="C28" s="275">
        <v>257020.38</v>
      </c>
    </row>
    <row r="29" spans="2:3" ht="24.75" customHeight="1" x14ac:dyDescent="0.6">
      <c r="B29" s="270" t="s">
        <v>378</v>
      </c>
      <c r="C29" s="276">
        <f>SUM(C21:C28)</f>
        <v>870201.49</v>
      </c>
    </row>
    <row r="30" spans="2:3" ht="24.75" customHeight="1" x14ac:dyDescent="0.6">
      <c r="B30" s="270"/>
      <c r="C30" s="276"/>
    </row>
    <row r="31" spans="2:3" ht="24.75" customHeight="1" x14ac:dyDescent="0.45">
      <c r="B31" s="277" t="s">
        <v>274</v>
      </c>
      <c r="C31" s="278">
        <f>+C18+C29</f>
        <v>2890889.87</v>
      </c>
    </row>
    <row r="32" spans="2:3" ht="24.75" customHeight="1" thickBot="1" x14ac:dyDescent="0.3">
      <c r="B32" s="201"/>
      <c r="C32" s="202"/>
    </row>
    <row r="34" spans="2:3" ht="24.75" customHeight="1" x14ac:dyDescent="0.25">
      <c r="B34" s="4" t="s">
        <v>837</v>
      </c>
      <c r="C34" s="32"/>
    </row>
    <row r="35" spans="2:3" ht="24.75" customHeight="1" thickBot="1" x14ac:dyDescent="0.3">
      <c r="B35" s="4" t="s">
        <v>838</v>
      </c>
      <c r="C35" s="279"/>
    </row>
    <row r="36" spans="2:3" ht="24.75" customHeight="1" thickTop="1" x14ac:dyDescent="0.25"/>
    <row r="37" spans="2:3" ht="24.75" customHeight="1" x14ac:dyDescent="0.25">
      <c r="C37" s="32"/>
    </row>
  </sheetData>
  <mergeCells count="4">
    <mergeCell ref="B5:C5"/>
    <mergeCell ref="B6:C6"/>
    <mergeCell ref="B4:C4"/>
    <mergeCell ref="B3:C3"/>
  </mergeCells>
  <phoneticPr fontId="62" type="noConversion"/>
  <pageMargins left="0.70866141732283472" right="0.70866141732283472" top="0.43307086614173229" bottom="0.74803149606299213" header="0.31496062992125984" footer="0.31496062992125984"/>
  <pageSetup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J34"/>
  <sheetViews>
    <sheetView zoomScaleNormal="100" workbookViewId="0">
      <selection activeCell="B10" sqref="B10:F10"/>
    </sheetView>
  </sheetViews>
  <sheetFormatPr baseColWidth="10" defaultColWidth="11.44140625" defaultRowHeight="24.75" customHeight="1" x14ac:dyDescent="0.25"/>
  <cols>
    <col min="1" max="1" width="10.109375" style="4" customWidth="1"/>
    <col min="2" max="2" width="39.33203125" style="4" customWidth="1"/>
    <col min="3" max="4" width="19.33203125" style="4" customWidth="1"/>
    <col min="5" max="5" width="15.88671875" style="4" bestFit="1" customWidth="1"/>
    <col min="6" max="6" width="16" style="4" bestFit="1" customWidth="1"/>
    <col min="7" max="16384" width="11.44140625" style="4"/>
  </cols>
  <sheetData>
    <row r="3" spans="2:10" ht="24.75" customHeight="1" x14ac:dyDescent="0.3">
      <c r="B3" s="585" t="s">
        <v>379</v>
      </c>
      <c r="C3" s="585"/>
      <c r="D3" s="585"/>
    </row>
    <row r="4" spans="2:10" ht="30" customHeight="1" x14ac:dyDescent="0.3">
      <c r="B4" s="585" t="s">
        <v>255</v>
      </c>
      <c r="C4" s="585"/>
      <c r="D4" s="585"/>
    </row>
    <row r="5" spans="2:10" ht="31.5" customHeight="1" x14ac:dyDescent="0.3">
      <c r="B5" s="606" t="s">
        <v>380</v>
      </c>
      <c r="C5" s="606"/>
      <c r="D5" s="606"/>
      <c r="I5" s="35"/>
      <c r="J5" s="35"/>
    </row>
    <row r="6" spans="2:10" ht="24.75" customHeight="1" x14ac:dyDescent="0.3">
      <c r="B6" s="595">
        <v>45838</v>
      </c>
      <c r="C6" s="595"/>
      <c r="D6" s="595"/>
    </row>
    <row r="7" spans="2:10" ht="24.75" customHeight="1" thickBot="1" x14ac:dyDescent="0.35">
      <c r="B7" s="138"/>
      <c r="C7" s="138"/>
      <c r="D7" s="138"/>
    </row>
    <row r="8" spans="2:10" ht="24.75" customHeight="1" thickBot="1" x14ac:dyDescent="0.35">
      <c r="B8" s="141" t="s">
        <v>241</v>
      </c>
      <c r="C8" s="607" t="s">
        <v>258</v>
      </c>
      <c r="D8" s="608"/>
    </row>
    <row r="9" spans="2:10" ht="24.75" customHeight="1" x14ac:dyDescent="0.25">
      <c r="B9" s="194" t="s">
        <v>381</v>
      </c>
      <c r="C9" s="268"/>
      <c r="D9" s="268">
        <f>+'NOTA 5-SEG PAG X ANT'!F52</f>
        <v>328882.49</v>
      </c>
    </row>
    <row r="10" spans="2:10" ht="24.75" customHeight="1" x14ac:dyDescent="0.25">
      <c r="B10" s="194"/>
      <c r="C10" s="268"/>
      <c r="D10" s="268"/>
    </row>
    <row r="11" spans="2:10" ht="24.75" customHeight="1" x14ac:dyDescent="0.25">
      <c r="B11" s="194" t="s">
        <v>715</v>
      </c>
      <c r="C11" s="268"/>
      <c r="D11" s="268"/>
    </row>
    <row r="12" spans="2:10" ht="24.75" customHeight="1" x14ac:dyDescent="0.25">
      <c r="B12" s="196" t="s">
        <v>382</v>
      </c>
      <c r="C12" s="274">
        <f>+'NOTA 5 - LIC MS 365 AMORTIZ'!F43</f>
        <v>1310061</v>
      </c>
      <c r="D12" s="274"/>
    </row>
    <row r="13" spans="2:10" ht="24.75" customHeight="1" x14ac:dyDescent="0.25">
      <c r="B13" s="196" t="s">
        <v>816</v>
      </c>
      <c r="C13" s="274">
        <f>+'NOTA 5 LIC ALDABA LINKEDIN'!F43</f>
        <v>327000.0033333333</v>
      </c>
      <c r="D13" s="274"/>
    </row>
    <row r="14" spans="2:10" ht="24.75" customHeight="1" x14ac:dyDescent="0.25">
      <c r="B14" s="196" t="s">
        <v>383</v>
      </c>
      <c r="C14" s="274">
        <f>+'NOTA 5 LICENCIAS JIRA'!F43</f>
        <v>75000</v>
      </c>
      <c r="D14" s="274"/>
    </row>
    <row r="15" spans="2:10" ht="24.75" customHeight="1" x14ac:dyDescent="0.25">
      <c r="B15" s="196" t="s">
        <v>384</v>
      </c>
      <c r="C15" s="274">
        <f>+'NOTA 5 LIC ANTIDESASTRES'!F44</f>
        <v>120416.66666666651</v>
      </c>
      <c r="D15" s="274"/>
      <c r="E15" s="25"/>
    </row>
    <row r="16" spans="2:10" ht="24.75" customHeight="1" x14ac:dyDescent="0.4">
      <c r="B16" s="196" t="s">
        <v>385</v>
      </c>
      <c r="C16" s="275">
        <f>+'NOTA 5 Licencias Adobe'!F43</f>
        <v>182542.90666666668</v>
      </c>
      <c r="D16" s="274"/>
    </row>
    <row r="17" spans="2:6" ht="24.75" customHeight="1" x14ac:dyDescent="0.4">
      <c r="B17" s="280" t="s">
        <v>714</v>
      </c>
      <c r="C17" s="275"/>
      <c r="D17" s="275">
        <f>SUM(C12:C16)</f>
        <v>2015020.5766666667</v>
      </c>
    </row>
    <row r="18" spans="2:6" ht="24.75" customHeight="1" x14ac:dyDescent="0.4">
      <c r="B18" s="280"/>
      <c r="C18" s="275"/>
      <c r="D18" s="275"/>
    </row>
    <row r="19" spans="2:6" ht="24.75" customHeight="1" x14ac:dyDescent="0.45">
      <c r="B19" s="199" t="s">
        <v>274</v>
      </c>
      <c r="C19" s="281"/>
      <c r="D19" s="281">
        <f>SUM(D9:D17)</f>
        <v>2343903.0666666664</v>
      </c>
      <c r="F19" s="283"/>
    </row>
    <row r="20" spans="2:6" ht="22.5" customHeight="1" thickBot="1" x14ac:dyDescent="0.3">
      <c r="B20" s="201"/>
      <c r="C20" s="202"/>
      <c r="D20" s="202"/>
    </row>
    <row r="21" spans="2:6" ht="18" customHeight="1" x14ac:dyDescent="0.25">
      <c r="B21" s="282"/>
      <c r="C21" s="282"/>
      <c r="D21" s="282"/>
    </row>
    <row r="22" spans="2:6" ht="18" customHeight="1" x14ac:dyDescent="0.25">
      <c r="B22" s="282"/>
      <c r="C22" s="282"/>
      <c r="D22" s="284"/>
    </row>
    <row r="23" spans="2:6" ht="18" customHeight="1" x14ac:dyDescent="0.25">
      <c r="B23" s="282"/>
      <c r="C23" s="282"/>
      <c r="D23" s="282"/>
    </row>
    <row r="24" spans="2:6" ht="18" customHeight="1" x14ac:dyDescent="0.25">
      <c r="B24" s="282"/>
      <c r="C24" s="282"/>
      <c r="D24" s="282"/>
    </row>
    <row r="25" spans="2:6" ht="18" customHeight="1" x14ac:dyDescent="0.25">
      <c r="B25" s="282"/>
      <c r="C25" s="282"/>
      <c r="D25" s="282"/>
      <c r="E25" s="25"/>
    </row>
    <row r="26" spans="2:6" ht="24.75" customHeight="1" x14ac:dyDescent="0.25">
      <c r="D26" s="25"/>
    </row>
    <row r="27" spans="2:6" ht="24.75" hidden="1" customHeight="1" x14ac:dyDescent="0.25">
      <c r="B27" s="4" t="s">
        <v>386</v>
      </c>
      <c r="D27" s="25">
        <f>-'NOTA 5-SEG PAG X ANT'!F49</f>
        <v>-657764.96</v>
      </c>
    </row>
    <row r="28" spans="2:6" ht="24.75" hidden="1" customHeight="1" x14ac:dyDescent="0.25">
      <c r="B28" s="4" t="s">
        <v>387</v>
      </c>
      <c r="D28" s="25">
        <f>-'NOTA 5 - LIC MS 365 AMORTIZ'!F36</f>
        <v>0</v>
      </c>
    </row>
    <row r="29" spans="2:6" ht="24.75" hidden="1" customHeight="1" x14ac:dyDescent="0.25">
      <c r="B29" s="4" t="s">
        <v>388</v>
      </c>
      <c r="D29" s="25">
        <f>-'NOTA 5 LICENCIAS JIRA'!F33</f>
        <v>-75000</v>
      </c>
    </row>
    <row r="30" spans="2:6" ht="24.75" hidden="1" customHeight="1" x14ac:dyDescent="0.25">
      <c r="B30" s="4" t="s">
        <v>389</v>
      </c>
      <c r="D30" s="25">
        <f>-'NOTA 5 Licencias Adobe'!F32</f>
        <v>-22817.87833333333</v>
      </c>
    </row>
    <row r="31" spans="2:6" ht="24.75" hidden="1" customHeight="1" x14ac:dyDescent="0.25">
      <c r="B31" s="4" t="s">
        <v>390</v>
      </c>
      <c r="D31" s="25">
        <v>-278983.06</v>
      </c>
    </row>
    <row r="32" spans="2:6" ht="24.75" hidden="1" customHeight="1" thickBot="1" x14ac:dyDescent="0.3">
      <c r="B32" s="4" t="s">
        <v>391</v>
      </c>
      <c r="D32" s="279">
        <f>SUM(D26:D31)</f>
        <v>-1034565.8983333332</v>
      </c>
    </row>
    <row r="33" spans="4:4" ht="24.75" hidden="1" customHeight="1" thickTop="1" x14ac:dyDescent="0.25"/>
    <row r="34" spans="4:4" ht="24.75" customHeight="1" x14ac:dyDescent="0.25">
      <c r="D34" s="25"/>
    </row>
  </sheetData>
  <mergeCells count="5">
    <mergeCell ref="B3:D3"/>
    <mergeCell ref="B5:D5"/>
    <mergeCell ref="B6:D6"/>
    <mergeCell ref="B4:D4"/>
    <mergeCell ref="C8:D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4:G54"/>
  <sheetViews>
    <sheetView topLeftCell="A6" zoomScale="110" zoomScaleNormal="110" workbookViewId="0">
      <selection activeCell="B10" sqref="B10:F10"/>
    </sheetView>
  </sheetViews>
  <sheetFormatPr baseColWidth="10" defaultColWidth="11.5546875" defaultRowHeight="15" x14ac:dyDescent="0.25"/>
  <cols>
    <col min="1" max="1" width="11.5546875" style="4" customWidth="1"/>
    <col min="2" max="2" width="24.5546875" style="4" customWidth="1"/>
    <col min="3" max="3" width="12" style="4" customWidth="1"/>
    <col min="4" max="4" width="21.44140625" style="4" customWidth="1"/>
    <col min="5" max="5" width="11.5546875" style="4" customWidth="1"/>
    <col min="6" max="6" width="16.5546875" style="4" bestFit="1" customWidth="1"/>
    <col min="7" max="16384" width="11.5546875" style="4"/>
  </cols>
  <sheetData>
    <row r="4" spans="2:6" ht="21.75" customHeight="1" x14ac:dyDescent="0.3">
      <c r="B4" s="585" t="s">
        <v>379</v>
      </c>
      <c r="C4" s="585"/>
      <c r="D4" s="585"/>
      <c r="E4" s="585"/>
      <c r="F4" s="585"/>
    </row>
    <row r="5" spans="2:6" ht="21.75" customHeight="1" x14ac:dyDescent="0.3">
      <c r="B5" s="585" t="s">
        <v>255</v>
      </c>
      <c r="C5" s="585"/>
      <c r="D5" s="585"/>
      <c r="E5" s="585"/>
      <c r="F5" s="585"/>
    </row>
    <row r="6" spans="2:6" ht="21.75" customHeight="1" x14ac:dyDescent="0.3">
      <c r="B6" s="585" t="s">
        <v>392</v>
      </c>
      <c r="C6" s="585"/>
      <c r="D6" s="585"/>
      <c r="E6" s="585"/>
      <c r="F6" s="585"/>
    </row>
    <row r="7" spans="2:6" ht="21.75" customHeight="1" x14ac:dyDescent="0.3">
      <c r="B7" s="609">
        <v>45838</v>
      </c>
      <c r="C7" s="609"/>
      <c r="D7" s="609"/>
      <c r="E7" s="609"/>
      <c r="F7" s="609"/>
    </row>
    <row r="9" spans="2:6" ht="21" customHeight="1" x14ac:dyDescent="0.25">
      <c r="B9" s="610" t="s">
        <v>393</v>
      </c>
      <c r="C9" s="610"/>
      <c r="D9" s="610"/>
      <c r="E9" s="610"/>
      <c r="F9" s="610"/>
    </row>
    <row r="10" spans="2:6" ht="21" customHeight="1" x14ac:dyDescent="0.3">
      <c r="B10" s="578" t="s">
        <v>885</v>
      </c>
      <c r="C10" s="578"/>
      <c r="D10" s="578"/>
      <c r="E10" s="578"/>
      <c r="F10" s="578"/>
    </row>
    <row r="11" spans="2:6" ht="21" customHeight="1" x14ac:dyDescent="0.3">
      <c r="B11" s="578" t="s">
        <v>886</v>
      </c>
      <c r="C11" s="578"/>
      <c r="D11" s="578"/>
      <c r="E11" s="578"/>
      <c r="F11" s="578"/>
    </row>
    <row r="12" spans="2:6" ht="15.6" thickBot="1" x14ac:dyDescent="0.3">
      <c r="B12" s="5"/>
      <c r="C12" s="5"/>
      <c r="D12" s="5"/>
      <c r="E12" s="5"/>
      <c r="F12" s="5"/>
    </row>
    <row r="13" spans="2:6" ht="18" customHeight="1" thickBot="1" x14ac:dyDescent="0.35">
      <c r="B13" s="141" t="s">
        <v>394</v>
      </c>
      <c r="C13" s="142"/>
      <c r="D13" s="142" t="s">
        <v>395</v>
      </c>
      <c r="E13" s="142"/>
      <c r="F13" s="285" t="s">
        <v>396</v>
      </c>
    </row>
    <row r="14" spans="2:6" x14ac:dyDescent="0.25">
      <c r="B14" s="286" t="s">
        <v>397</v>
      </c>
      <c r="D14" s="4" t="s">
        <v>398</v>
      </c>
      <c r="F14" s="287">
        <v>594182.82999999996</v>
      </c>
    </row>
    <row r="15" spans="2:6" x14ac:dyDescent="0.25">
      <c r="B15" s="286" t="s">
        <v>399</v>
      </c>
      <c r="D15" s="4" t="s">
        <v>400</v>
      </c>
      <c r="F15" s="287">
        <v>313416.84000000003</v>
      </c>
    </row>
    <row r="16" spans="2:6" x14ac:dyDescent="0.25">
      <c r="B16" s="286" t="s">
        <v>401</v>
      </c>
      <c r="D16" s="4" t="s">
        <v>402</v>
      </c>
      <c r="F16" s="287">
        <v>5619.41</v>
      </c>
    </row>
    <row r="17" spans="1:7" x14ac:dyDescent="0.25">
      <c r="B17" s="286" t="s">
        <v>403</v>
      </c>
      <c r="D17" s="4" t="s">
        <v>404</v>
      </c>
      <c r="F17" s="287">
        <v>23218.799999999999</v>
      </c>
    </row>
    <row r="18" spans="1:7" x14ac:dyDescent="0.25">
      <c r="B18" s="286" t="s">
        <v>405</v>
      </c>
      <c r="D18" s="4" t="s">
        <v>406</v>
      </c>
      <c r="F18" s="287">
        <v>29979.7</v>
      </c>
    </row>
    <row r="19" spans="1:7" x14ac:dyDescent="0.25">
      <c r="B19" s="286" t="s">
        <v>407</v>
      </c>
      <c r="D19" s="4" t="s">
        <v>408</v>
      </c>
      <c r="F19" s="287">
        <v>20229.87</v>
      </c>
    </row>
    <row r="20" spans="1:7" ht="16.8" x14ac:dyDescent="0.4">
      <c r="B20" s="286" t="s">
        <v>409</v>
      </c>
      <c r="F20" s="288"/>
    </row>
    <row r="21" spans="1:7" ht="17.399999999999999" x14ac:dyDescent="0.45">
      <c r="B21" s="289" t="s">
        <v>330</v>
      </c>
      <c r="C21" s="159"/>
      <c r="D21" s="159"/>
      <c r="E21" s="159"/>
      <c r="F21" s="290">
        <f>SUM(F14:F20)</f>
        <v>986647.45</v>
      </c>
    </row>
    <row r="22" spans="1:7" x14ac:dyDescent="0.25">
      <c r="F22" s="291"/>
    </row>
    <row r="23" spans="1:7" x14ac:dyDescent="0.25">
      <c r="B23" s="292" t="s">
        <v>410</v>
      </c>
      <c r="C23" s="293"/>
      <c r="D23" s="293"/>
      <c r="E23" s="293"/>
      <c r="F23" s="294">
        <v>986647.45</v>
      </c>
    </row>
    <row r="24" spans="1:7" ht="16.8" x14ac:dyDescent="0.4">
      <c r="B24" s="295"/>
      <c r="F24" s="288"/>
    </row>
    <row r="25" spans="1:7" ht="17.399999999999999" x14ac:dyDescent="0.45">
      <c r="B25" s="296" t="s">
        <v>411</v>
      </c>
      <c r="C25" s="297"/>
      <c r="D25" s="297"/>
      <c r="E25" s="297"/>
      <c r="F25" s="298">
        <f>SUM(F23:F24)</f>
        <v>986647.45</v>
      </c>
    </row>
    <row r="26" spans="1:7" x14ac:dyDescent="0.25">
      <c r="A26" s="32"/>
      <c r="F26" s="291"/>
    </row>
    <row r="27" spans="1:7" x14ac:dyDescent="0.25">
      <c r="F27" s="36"/>
    </row>
    <row r="28" spans="1:7" x14ac:dyDescent="0.25">
      <c r="B28" s="299" t="s">
        <v>412</v>
      </c>
      <c r="C28" s="299"/>
      <c r="D28" s="299"/>
      <c r="E28" s="299"/>
      <c r="F28" s="300">
        <f>+F21/12</f>
        <v>82220.620833333334</v>
      </c>
    </row>
    <row r="29" spans="1:7" x14ac:dyDescent="0.25">
      <c r="F29" s="36"/>
    </row>
    <row r="30" spans="1:7" ht="15.75" customHeight="1" x14ac:dyDescent="0.25">
      <c r="B30" s="4" t="s">
        <v>413</v>
      </c>
      <c r="D30" s="4">
        <v>2</v>
      </c>
      <c r="F30" s="36">
        <f>+F28*D30</f>
        <v>164441.24166666667</v>
      </c>
      <c r="G30" s="25"/>
    </row>
    <row r="31" spans="1:7" ht="15.75" customHeight="1" x14ac:dyDescent="0.25">
      <c r="F31" s="36"/>
    </row>
    <row r="32" spans="1:7" ht="15.75" customHeight="1" x14ac:dyDescent="0.25">
      <c r="B32" s="4" t="s">
        <v>414</v>
      </c>
      <c r="D32" s="4">
        <v>3</v>
      </c>
      <c r="F32" s="36">
        <f>+D32*F28</f>
        <v>246661.86249999999</v>
      </c>
      <c r="G32" s="25"/>
    </row>
    <row r="33" spans="1:7" ht="15.75" customHeight="1" x14ac:dyDescent="0.25">
      <c r="F33" s="36"/>
    </row>
    <row r="34" spans="1:7" ht="15.75" customHeight="1" x14ac:dyDescent="0.25">
      <c r="B34" s="4" t="s">
        <v>415</v>
      </c>
      <c r="D34" s="4">
        <v>7</v>
      </c>
      <c r="F34" s="36">
        <f>+D34*F28</f>
        <v>575544.34583333333</v>
      </c>
      <c r="G34" s="25"/>
    </row>
    <row r="35" spans="1:7" x14ac:dyDescent="0.25">
      <c r="F35" s="36"/>
    </row>
    <row r="36" spans="1:7" x14ac:dyDescent="0.25">
      <c r="A36" s="301"/>
      <c r="B36" s="301" t="s">
        <v>416</v>
      </c>
      <c r="C36" s="301"/>
      <c r="D36" s="301"/>
      <c r="E36" s="301"/>
      <c r="F36" s="302">
        <v>82220.62</v>
      </c>
      <c r="G36" s="25"/>
    </row>
    <row r="37" spans="1:7" x14ac:dyDescent="0.25">
      <c r="B37" s="4" t="s">
        <v>417</v>
      </c>
      <c r="C37" s="37"/>
      <c r="D37" s="37"/>
      <c r="E37" s="37"/>
      <c r="F37" s="302">
        <v>82220.62</v>
      </c>
    </row>
    <row r="38" spans="1:7" x14ac:dyDescent="0.25">
      <c r="B38" s="4" t="s">
        <v>418</v>
      </c>
      <c r="F38" s="36">
        <v>82220.62</v>
      </c>
    </row>
    <row r="39" spans="1:7" x14ac:dyDescent="0.25">
      <c r="B39" s="4" t="s">
        <v>419</v>
      </c>
      <c r="F39" s="36">
        <v>82220.62</v>
      </c>
    </row>
    <row r="40" spans="1:7" x14ac:dyDescent="0.25">
      <c r="B40" s="4" t="s">
        <v>420</v>
      </c>
      <c r="C40" s="37"/>
      <c r="F40" s="36">
        <v>82220.62</v>
      </c>
    </row>
    <row r="41" spans="1:7" x14ac:dyDescent="0.25">
      <c r="B41" s="4" t="s">
        <v>421</v>
      </c>
      <c r="F41" s="36">
        <v>82220.62</v>
      </c>
    </row>
    <row r="42" spans="1:7" x14ac:dyDescent="0.25">
      <c r="B42" s="30" t="s">
        <v>422</v>
      </c>
      <c r="F42" s="36">
        <v>82220.62</v>
      </c>
    </row>
    <row r="43" spans="1:7" x14ac:dyDescent="0.25">
      <c r="B43" s="303" t="s">
        <v>423</v>
      </c>
      <c r="F43" s="51">
        <v>82220.62</v>
      </c>
    </row>
    <row r="44" spans="1:7" hidden="1" x14ac:dyDescent="0.25">
      <c r="B44" s="4" t="s">
        <v>424</v>
      </c>
      <c r="F44" s="36"/>
    </row>
    <row r="45" spans="1:7" hidden="1" x14ac:dyDescent="0.25">
      <c r="B45" s="4" t="s">
        <v>425</v>
      </c>
      <c r="F45" s="36"/>
    </row>
    <row r="46" spans="1:7" hidden="1" x14ac:dyDescent="0.25">
      <c r="B46" s="4" t="s">
        <v>426</v>
      </c>
      <c r="F46" s="36"/>
    </row>
    <row r="47" spans="1:7" hidden="1" x14ac:dyDescent="0.25">
      <c r="B47" s="4" t="s">
        <v>427</v>
      </c>
      <c r="F47" s="51"/>
    </row>
    <row r="48" spans="1:7" hidden="1" x14ac:dyDescent="0.25">
      <c r="B48" s="301" t="s">
        <v>428</v>
      </c>
      <c r="F48" s="36"/>
    </row>
    <row r="49" spans="2:6" ht="15.6" x14ac:dyDescent="0.3">
      <c r="B49" s="4" t="s">
        <v>429</v>
      </c>
      <c r="F49" s="304">
        <f>SUM(F36:F48)</f>
        <v>657764.96</v>
      </c>
    </row>
    <row r="50" spans="2:6" ht="15.6" x14ac:dyDescent="0.3">
      <c r="F50" s="187"/>
    </row>
    <row r="51" spans="2:6" x14ac:dyDescent="0.25">
      <c r="F51" s="291"/>
    </row>
    <row r="52" spans="2:6" ht="22.5" customHeight="1" x14ac:dyDescent="0.45">
      <c r="B52" s="240" t="s">
        <v>430</v>
      </c>
      <c r="C52" s="240"/>
      <c r="D52" s="240"/>
      <c r="E52" s="240"/>
      <c r="F52" s="305">
        <f>+F25-F49</f>
        <v>328882.49</v>
      </c>
    </row>
    <row r="54" spans="2:6" x14ac:dyDescent="0.25">
      <c r="F54" s="25"/>
    </row>
  </sheetData>
  <mergeCells count="7">
    <mergeCell ref="B4:F4"/>
    <mergeCell ref="B5:F5"/>
    <mergeCell ref="B7:F7"/>
    <mergeCell ref="B10:F10"/>
    <mergeCell ref="B11:F11"/>
    <mergeCell ref="B6:F6"/>
    <mergeCell ref="B9:F9"/>
  </mergeCells>
  <phoneticPr fontId="62" type="noConversion"/>
  <pageMargins left="0.11811023622047245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6226-0DC0-418D-9064-4450A4D7836E}">
  <sheetPr>
    <pageSetUpPr fitToPage="1"/>
  </sheetPr>
  <dimension ref="A1:F56"/>
  <sheetViews>
    <sheetView topLeftCell="A13" workbookViewId="0">
      <selection activeCell="B10" sqref="B10:F10"/>
    </sheetView>
  </sheetViews>
  <sheetFormatPr baseColWidth="10" defaultColWidth="11.44140625" defaultRowHeight="24.75" customHeight="1" x14ac:dyDescent="0.25"/>
  <cols>
    <col min="1" max="1" width="4.6640625" style="327" customWidth="1"/>
    <col min="2" max="2" width="35" style="327" customWidth="1"/>
    <col min="3" max="3" width="13.5546875" style="327" customWidth="1"/>
    <col min="4" max="4" width="17" style="327" customWidth="1"/>
    <col min="5" max="5" width="12" style="327" bestFit="1" customWidth="1"/>
    <col min="6" max="6" width="18.88671875" style="327" customWidth="1"/>
    <col min="7" max="16384" width="11.44140625" style="4"/>
  </cols>
  <sheetData>
    <row r="1" spans="1:6" ht="15.9" customHeight="1" x14ac:dyDescent="0.25">
      <c r="A1" s="4"/>
      <c r="B1" s="4"/>
      <c r="C1" s="4"/>
      <c r="D1" s="4"/>
      <c r="E1" s="4"/>
      <c r="F1" s="4"/>
    </row>
    <row r="2" spans="1:6" ht="15.9" customHeight="1" x14ac:dyDescent="0.25">
      <c r="A2" s="4"/>
      <c r="B2" s="4"/>
      <c r="C2" s="4"/>
      <c r="D2" s="4"/>
      <c r="E2" s="4"/>
      <c r="F2" s="4"/>
    </row>
    <row r="3" spans="1:6" ht="15.9" customHeight="1" x14ac:dyDescent="0.3">
      <c r="A3" s="4"/>
      <c r="B3" s="585" t="s">
        <v>379</v>
      </c>
      <c r="C3" s="585"/>
      <c r="D3" s="585"/>
      <c r="E3" s="585"/>
      <c r="F3" s="585"/>
    </row>
    <row r="4" spans="1:6" ht="15.9" customHeight="1" x14ac:dyDescent="0.3">
      <c r="A4" s="4"/>
      <c r="B4" s="585" t="s">
        <v>255</v>
      </c>
      <c r="C4" s="585"/>
      <c r="D4" s="585"/>
      <c r="E4" s="585"/>
      <c r="F4" s="585"/>
    </row>
    <row r="5" spans="1:6" ht="15.9" customHeight="1" x14ac:dyDescent="0.3">
      <c r="A5" s="4"/>
      <c r="B5" s="585" t="s">
        <v>431</v>
      </c>
      <c r="C5" s="585"/>
      <c r="D5" s="585"/>
      <c r="E5" s="585"/>
      <c r="F5" s="585"/>
    </row>
    <row r="6" spans="1:6" ht="15.9" customHeight="1" x14ac:dyDescent="0.3">
      <c r="A6" s="4"/>
      <c r="B6" s="609">
        <v>45838</v>
      </c>
      <c r="C6" s="609"/>
      <c r="D6" s="609"/>
      <c r="E6" s="609"/>
      <c r="F6" s="609"/>
    </row>
    <row r="7" spans="1:6" ht="15.9" customHeight="1" x14ac:dyDescent="0.25">
      <c r="A7" s="4"/>
      <c r="B7" s="4"/>
      <c r="C7" s="4"/>
      <c r="D7" s="4"/>
      <c r="E7" s="4"/>
      <c r="F7" s="4"/>
    </row>
    <row r="8" spans="1:6" ht="21.75" customHeight="1" x14ac:dyDescent="0.25">
      <c r="A8" s="4"/>
      <c r="B8" s="610" t="s">
        <v>813</v>
      </c>
      <c r="C8" s="610"/>
      <c r="D8" s="610"/>
      <c r="E8" s="610"/>
      <c r="F8" s="610"/>
    </row>
    <row r="9" spans="1:6" ht="21.75" customHeight="1" x14ac:dyDescent="0.3">
      <c r="A9" s="4"/>
      <c r="B9" s="578" t="s">
        <v>887</v>
      </c>
      <c r="C9" s="578"/>
      <c r="D9" s="578"/>
      <c r="E9" s="578"/>
      <c r="F9" s="578"/>
    </row>
    <row r="10" spans="1:6" ht="21.75" customHeight="1" x14ac:dyDescent="0.25">
      <c r="A10" s="4"/>
      <c r="B10" s="578" t="s">
        <v>894</v>
      </c>
      <c r="C10" s="578"/>
      <c r="D10" s="578"/>
      <c r="E10" s="578"/>
      <c r="F10" s="578"/>
    </row>
    <row r="11" spans="1:6" ht="15.9" customHeight="1" thickBot="1" x14ac:dyDescent="0.3">
      <c r="A11" s="4"/>
      <c r="B11" s="4"/>
      <c r="C11" s="4"/>
      <c r="D11" s="4"/>
      <c r="E11" s="4"/>
      <c r="F11" s="4"/>
    </row>
    <row r="12" spans="1:6" ht="23.25" customHeight="1" thickBot="1" x14ac:dyDescent="0.35">
      <c r="A12" s="4"/>
      <c r="B12" s="306" t="s">
        <v>337</v>
      </c>
      <c r="C12" s="307"/>
      <c r="D12" s="307" t="s">
        <v>433</v>
      </c>
      <c r="E12" s="307"/>
      <c r="F12" s="308" t="s">
        <v>396</v>
      </c>
    </row>
    <row r="13" spans="1:6" ht="22.5" customHeight="1" x14ac:dyDescent="0.4">
      <c r="A13" s="4"/>
      <c r="B13" s="309" t="s">
        <v>814</v>
      </c>
      <c r="C13" s="310"/>
      <c r="D13" s="311" t="s">
        <v>435</v>
      </c>
      <c r="E13" s="310"/>
      <c r="F13" s="312">
        <v>436000</v>
      </c>
    </row>
    <row r="14" spans="1:6" ht="23.25" customHeight="1" thickBot="1" x14ac:dyDescent="0.5">
      <c r="A14" s="4"/>
      <c r="B14" s="313" t="s">
        <v>330</v>
      </c>
      <c r="C14" s="314"/>
      <c r="D14" s="314"/>
      <c r="E14" s="314"/>
      <c r="F14" s="315">
        <f>SUM(F13:F13)</f>
        <v>436000</v>
      </c>
    </row>
    <row r="15" spans="1:6" ht="15.9" customHeight="1" thickBot="1" x14ac:dyDescent="0.3">
      <c r="A15" s="4"/>
      <c r="B15" s="4"/>
      <c r="C15" s="4"/>
      <c r="D15" s="4"/>
      <c r="E15" s="4"/>
      <c r="F15" s="4"/>
    </row>
    <row r="16" spans="1:6" ht="24" customHeight="1" thickBot="1" x14ac:dyDescent="0.35">
      <c r="A16" s="4"/>
      <c r="B16" s="306" t="s">
        <v>335</v>
      </c>
      <c r="C16" s="307" t="s">
        <v>436</v>
      </c>
      <c r="D16" s="307"/>
      <c r="E16" s="307" t="s">
        <v>437</v>
      </c>
      <c r="F16" s="308" t="s">
        <v>336</v>
      </c>
    </row>
    <row r="17" spans="1:6" ht="18" customHeight="1" x14ac:dyDescent="0.3">
      <c r="A17" s="4"/>
      <c r="B17" s="316" t="s">
        <v>815</v>
      </c>
      <c r="C17" s="329" t="s">
        <v>893</v>
      </c>
      <c r="D17" s="310"/>
      <c r="E17" s="317">
        <v>45771</v>
      </c>
      <c r="F17" s="318">
        <f>+F13</f>
        <v>436000</v>
      </c>
    </row>
    <row r="18" spans="1:6" ht="18.75" customHeight="1" x14ac:dyDescent="0.4">
      <c r="A18" s="4"/>
      <c r="B18" s="319"/>
      <c r="C18" s="320"/>
      <c r="D18" s="320"/>
      <c r="E18" s="321"/>
      <c r="F18" s="322"/>
    </row>
    <row r="19" spans="1:6" ht="15.9" customHeight="1" x14ac:dyDescent="0.25">
      <c r="A19" s="4"/>
      <c r="B19" s="4"/>
      <c r="C19" s="4"/>
      <c r="D19" s="4"/>
      <c r="E19" s="4"/>
      <c r="F19" s="4"/>
    </row>
    <row r="20" spans="1:6" ht="15.9" customHeight="1" x14ac:dyDescent="0.25">
      <c r="A20" s="4"/>
      <c r="B20" s="299" t="s">
        <v>412</v>
      </c>
      <c r="C20" s="299"/>
      <c r="D20" s="299"/>
      <c r="E20" s="299"/>
      <c r="F20" s="300">
        <f>+F17/12</f>
        <v>36333.333333333336</v>
      </c>
    </row>
    <row r="21" spans="1:6" ht="15.9" customHeight="1" x14ac:dyDescent="0.25">
      <c r="A21" s="4"/>
      <c r="B21" s="4"/>
      <c r="C21" s="4"/>
      <c r="D21" s="4"/>
      <c r="E21" s="4"/>
      <c r="F21" s="36"/>
    </row>
    <row r="22" spans="1:6" ht="20.25" customHeight="1" x14ac:dyDescent="0.25">
      <c r="A22" s="4"/>
      <c r="B22" s="5" t="s">
        <v>800</v>
      </c>
      <c r="C22" s="5" t="s">
        <v>805</v>
      </c>
      <c r="D22" s="36">
        <f>+F20</f>
        <v>36333.333333333336</v>
      </c>
      <c r="E22" s="64" t="s">
        <v>802</v>
      </c>
      <c r="F22" s="36">
        <f>+D22*9</f>
        <v>327000</v>
      </c>
    </row>
    <row r="23" spans="1:6" ht="20.25" customHeight="1" x14ac:dyDescent="0.25">
      <c r="A23" s="4"/>
      <c r="B23" s="5"/>
      <c r="C23" s="5"/>
      <c r="D23" s="36"/>
      <c r="E23" s="5"/>
      <c r="F23" s="36"/>
    </row>
    <row r="24" spans="1:6" ht="20.25" customHeight="1" x14ac:dyDescent="0.25">
      <c r="A24" s="4"/>
      <c r="B24" s="5" t="s">
        <v>801</v>
      </c>
      <c r="C24" s="5" t="s">
        <v>804</v>
      </c>
      <c r="D24" s="36">
        <f>+F20</f>
        <v>36333.333333333336</v>
      </c>
      <c r="E24" s="64" t="s">
        <v>803</v>
      </c>
      <c r="F24" s="36">
        <f>+F17-F22</f>
        <v>109000</v>
      </c>
    </row>
    <row r="25" spans="1:6" ht="15.9" customHeight="1" x14ac:dyDescent="0.25">
      <c r="A25" s="4"/>
      <c r="B25" s="4"/>
      <c r="C25" s="5"/>
      <c r="D25" s="36"/>
      <c r="E25" s="4"/>
      <c r="F25" s="4"/>
    </row>
    <row r="26" spans="1:6" ht="15.9" customHeight="1" x14ac:dyDescent="0.25">
      <c r="A26" s="4"/>
      <c r="B26" s="4"/>
      <c r="C26" s="5"/>
      <c r="D26" s="36"/>
      <c r="E26" s="4"/>
      <c r="F26" s="4"/>
    </row>
    <row r="27" spans="1:6" ht="15.9" customHeight="1" x14ac:dyDescent="0.25">
      <c r="A27" s="4"/>
      <c r="B27" s="4"/>
      <c r="C27" s="5"/>
      <c r="D27" s="36"/>
      <c r="E27" s="4"/>
      <c r="F27" s="4"/>
    </row>
    <row r="28" spans="1:6" ht="18" customHeight="1" x14ac:dyDescent="0.25">
      <c r="A28" s="4"/>
      <c r="B28" s="4"/>
      <c r="C28" s="5"/>
      <c r="D28" s="30"/>
      <c r="E28" s="30"/>
      <c r="F28" s="36"/>
    </row>
    <row r="29" spans="1:6" ht="18" customHeight="1" x14ac:dyDescent="0.25">
      <c r="A29" s="4"/>
      <c r="B29" s="4" t="s">
        <v>747</v>
      </c>
      <c r="C29" s="30"/>
      <c r="D29" s="30"/>
      <c r="E29" s="30"/>
      <c r="F29" s="36">
        <f>+F20</f>
        <v>36333.333333333336</v>
      </c>
    </row>
    <row r="30" spans="1:6" ht="18" customHeight="1" x14ac:dyDescent="0.25">
      <c r="A30" s="4"/>
      <c r="B30" s="4" t="s">
        <v>748</v>
      </c>
      <c r="C30" s="37"/>
      <c r="D30" s="37"/>
      <c r="E30" s="37"/>
      <c r="F30" s="36">
        <f>+F29</f>
        <v>36333.333333333336</v>
      </c>
    </row>
    <row r="31" spans="1:6" ht="18" customHeight="1" x14ac:dyDescent="0.25">
      <c r="A31" s="4"/>
      <c r="B31" s="303" t="s">
        <v>749</v>
      </c>
      <c r="C31" s="37"/>
      <c r="D31" s="37"/>
      <c r="E31" s="37"/>
      <c r="F31" s="51">
        <v>36333.33</v>
      </c>
    </row>
    <row r="32" spans="1:6" ht="18" hidden="1" customHeight="1" x14ac:dyDescent="0.25">
      <c r="A32" s="4"/>
      <c r="B32" s="4" t="s">
        <v>750</v>
      </c>
      <c r="C32" s="37"/>
      <c r="D32" s="37"/>
      <c r="E32" s="37"/>
      <c r="F32" s="36"/>
    </row>
    <row r="33" spans="1:6" ht="18" hidden="1" customHeight="1" x14ac:dyDescent="0.25">
      <c r="A33" s="4"/>
      <c r="B33" s="4" t="s">
        <v>598</v>
      </c>
      <c r="C33" s="30"/>
      <c r="D33" s="30"/>
      <c r="E33" s="30"/>
      <c r="F33" s="36"/>
    </row>
    <row r="34" spans="1:6" ht="18" hidden="1" customHeight="1" x14ac:dyDescent="0.25">
      <c r="A34" s="4"/>
      <c r="B34" s="4" t="s">
        <v>806</v>
      </c>
      <c r="C34" s="30"/>
      <c r="D34" s="30"/>
      <c r="E34" s="30"/>
      <c r="F34" s="36"/>
    </row>
    <row r="35" spans="1:6" ht="15" hidden="1" x14ac:dyDescent="0.25">
      <c r="A35" s="4"/>
      <c r="B35" s="4" t="s">
        <v>807</v>
      </c>
      <c r="C35" s="30"/>
      <c r="D35" s="30"/>
      <c r="E35" s="30"/>
      <c r="F35" s="36"/>
    </row>
    <row r="36" spans="1:6" ht="15" hidden="1" x14ac:dyDescent="0.25">
      <c r="A36" s="4"/>
      <c r="B36" s="301" t="s">
        <v>808</v>
      </c>
      <c r="C36" s="30"/>
      <c r="D36" s="30"/>
      <c r="E36" s="30"/>
      <c r="F36" s="323"/>
    </row>
    <row r="37" spans="1:6" ht="15" hidden="1" x14ac:dyDescent="0.25">
      <c r="A37" s="4"/>
      <c r="B37" s="4" t="s">
        <v>809</v>
      </c>
      <c r="C37" s="37"/>
      <c r="D37" s="37"/>
      <c r="E37" s="37"/>
      <c r="F37" s="323"/>
    </row>
    <row r="38" spans="1:6" ht="15" hidden="1" x14ac:dyDescent="0.25">
      <c r="A38" s="4"/>
      <c r="B38" s="4" t="s">
        <v>810</v>
      </c>
      <c r="C38" s="4"/>
      <c r="D38" s="4"/>
      <c r="E38" s="4"/>
      <c r="F38" s="323"/>
    </row>
    <row r="39" spans="1:6" ht="15" hidden="1" x14ac:dyDescent="0.25">
      <c r="A39" s="4"/>
      <c r="B39" s="4" t="s">
        <v>811</v>
      </c>
      <c r="C39" s="30"/>
      <c r="D39" s="30"/>
      <c r="E39" s="30"/>
      <c r="F39" s="36"/>
    </row>
    <row r="40" spans="1:6" ht="16.8" hidden="1" x14ac:dyDescent="0.4">
      <c r="A40" s="4"/>
      <c r="B40" s="30" t="s">
        <v>812</v>
      </c>
      <c r="C40" s="30"/>
      <c r="D40" s="30"/>
      <c r="E40" s="30"/>
      <c r="F40" s="324"/>
    </row>
    <row r="41" spans="1:6" ht="10.5" customHeight="1" x14ac:dyDescent="0.25">
      <c r="A41" s="4"/>
      <c r="B41" s="4"/>
      <c r="C41" s="30"/>
      <c r="D41" s="30"/>
      <c r="E41" s="30"/>
      <c r="F41" s="4"/>
    </row>
    <row r="42" spans="1:6" ht="19.2" x14ac:dyDescent="0.6">
      <c r="A42" s="4"/>
      <c r="B42" s="240" t="s">
        <v>118</v>
      </c>
      <c r="C42" s="30"/>
      <c r="D42" s="30"/>
      <c r="E42" s="30"/>
      <c r="F42" s="325">
        <f>SUM(F28:F39)+0</f>
        <v>108999.99666666667</v>
      </c>
    </row>
    <row r="43" spans="1:6" ht="23.25" customHeight="1" x14ac:dyDescent="0.45">
      <c r="A43" s="4"/>
      <c r="B43" s="240" t="s">
        <v>430</v>
      </c>
      <c r="C43" s="240"/>
      <c r="D43" s="240"/>
      <c r="E43" s="240"/>
      <c r="F43" s="326">
        <f>+F14-F42</f>
        <v>327000.0033333333</v>
      </c>
    </row>
    <row r="44" spans="1:6" ht="15.9" customHeight="1" x14ac:dyDescent="0.3">
      <c r="A44" s="4"/>
      <c r="B44" s="240"/>
      <c r="C44" s="30"/>
      <c r="D44" s="30"/>
      <c r="E44" s="30"/>
      <c r="F44" s="323"/>
    </row>
    <row r="45" spans="1:6" ht="24.75" customHeight="1" x14ac:dyDescent="0.25">
      <c r="A45" s="4"/>
      <c r="B45" s="30"/>
      <c r="C45" s="30"/>
      <c r="D45" s="30"/>
      <c r="E45" s="30"/>
      <c r="F45" s="30"/>
    </row>
    <row r="46" spans="1:6" ht="24.75" customHeight="1" x14ac:dyDescent="0.25">
      <c r="A46" s="4"/>
      <c r="B46" s="30"/>
      <c r="C46" s="30"/>
      <c r="D46" s="30"/>
      <c r="E46" s="30"/>
      <c r="F46" s="30"/>
    </row>
    <row r="47" spans="1:6" ht="24.75" customHeight="1" x14ac:dyDescent="0.25">
      <c r="B47" s="30"/>
      <c r="C47" s="30"/>
      <c r="D47" s="30"/>
      <c r="E47" s="30"/>
      <c r="F47" s="30"/>
    </row>
    <row r="48" spans="1:6" ht="24.75" customHeight="1" x14ac:dyDescent="0.25">
      <c r="B48" s="30"/>
      <c r="C48" s="30"/>
      <c r="D48" s="30"/>
      <c r="E48" s="30"/>
      <c r="F48" s="30"/>
    </row>
    <row r="49" spans="2:6" ht="24.75" customHeight="1" x14ac:dyDescent="0.25">
      <c r="B49" s="30"/>
      <c r="C49" s="30"/>
      <c r="D49" s="30"/>
      <c r="E49" s="30"/>
      <c r="F49" s="30"/>
    </row>
    <row r="50" spans="2:6" ht="24.75" customHeight="1" x14ac:dyDescent="0.25">
      <c r="B50" s="30"/>
      <c r="C50" s="30"/>
      <c r="D50" s="30"/>
      <c r="E50" s="30"/>
      <c r="F50" s="30"/>
    </row>
    <row r="51" spans="2:6" ht="24.75" customHeight="1" x14ac:dyDescent="0.25">
      <c r="B51" s="30"/>
      <c r="C51" s="30"/>
      <c r="D51" s="30"/>
      <c r="E51" s="30"/>
      <c r="F51" s="30"/>
    </row>
    <row r="52" spans="2:6" ht="24.75" customHeight="1" x14ac:dyDescent="0.25">
      <c r="B52" s="30"/>
      <c r="C52" s="30"/>
      <c r="D52" s="30"/>
      <c r="E52" s="30"/>
      <c r="F52" s="30"/>
    </row>
    <row r="53" spans="2:6" ht="24.75" customHeight="1" x14ac:dyDescent="0.25">
      <c r="B53" s="30"/>
      <c r="C53" s="30"/>
      <c r="D53" s="30"/>
      <c r="E53" s="30"/>
      <c r="F53" s="30"/>
    </row>
    <row r="55" spans="2:6" ht="24.75" customHeight="1" x14ac:dyDescent="0.25">
      <c r="D55" s="328"/>
    </row>
    <row r="56" spans="2:6" ht="24.75" customHeight="1" x14ac:dyDescent="0.25">
      <c r="D56" s="328"/>
    </row>
  </sheetData>
  <mergeCells count="7">
    <mergeCell ref="B10:F10"/>
    <mergeCell ref="B3:F3"/>
    <mergeCell ref="B4:F4"/>
    <mergeCell ref="B5:F5"/>
    <mergeCell ref="B6:F6"/>
    <mergeCell ref="B8:F8"/>
    <mergeCell ref="B9:F9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56"/>
  <sheetViews>
    <sheetView view="pageBreakPreview" zoomScaleNormal="100" zoomScaleSheetLayoutView="100" workbookViewId="0">
      <selection activeCell="B24" sqref="B24"/>
    </sheetView>
  </sheetViews>
  <sheetFormatPr baseColWidth="10" defaultColWidth="11.44140625" defaultRowHeight="24.75" customHeight="1" x14ac:dyDescent="0.25"/>
  <cols>
    <col min="1" max="1" width="4.6640625" style="327" customWidth="1"/>
    <col min="2" max="2" width="33" style="327" bestFit="1" customWidth="1"/>
    <col min="3" max="3" width="16.88671875" style="327" customWidth="1"/>
    <col min="4" max="4" width="17" style="327" customWidth="1"/>
    <col min="5" max="5" width="12" style="327" bestFit="1" customWidth="1"/>
    <col min="6" max="6" width="18.88671875" style="327" customWidth="1"/>
    <col min="7" max="7" width="16" style="4" bestFit="1" customWidth="1"/>
    <col min="8" max="16384" width="11.44140625" style="4"/>
  </cols>
  <sheetData>
    <row r="1" spans="1:6" ht="15.9" customHeight="1" x14ac:dyDescent="0.25">
      <c r="A1" s="4"/>
      <c r="B1" s="4"/>
      <c r="C1" s="4"/>
      <c r="D1" s="4"/>
      <c r="E1" s="4"/>
      <c r="F1" s="4"/>
    </row>
    <row r="2" spans="1:6" ht="15.9" customHeight="1" x14ac:dyDescent="0.25">
      <c r="A2" s="4"/>
      <c r="B2" s="4"/>
      <c r="C2" s="4"/>
      <c r="D2" s="4"/>
      <c r="E2" s="4"/>
      <c r="F2" s="4"/>
    </row>
    <row r="3" spans="1:6" ht="15.9" customHeight="1" x14ac:dyDescent="0.3">
      <c r="A3" s="4"/>
      <c r="B3" s="585" t="s">
        <v>379</v>
      </c>
      <c r="C3" s="585"/>
      <c r="D3" s="585"/>
      <c r="E3" s="585"/>
      <c r="F3" s="585"/>
    </row>
    <row r="4" spans="1:6" ht="15.9" customHeight="1" x14ac:dyDescent="0.3">
      <c r="A4" s="4"/>
      <c r="B4" s="585" t="s">
        <v>255</v>
      </c>
      <c r="C4" s="585"/>
      <c r="D4" s="585"/>
      <c r="E4" s="585"/>
      <c r="F4" s="585"/>
    </row>
    <row r="5" spans="1:6" ht="15.9" customHeight="1" x14ac:dyDescent="0.3">
      <c r="A5" s="4"/>
      <c r="B5" s="585" t="s">
        <v>431</v>
      </c>
      <c r="C5" s="585"/>
      <c r="D5" s="585"/>
      <c r="E5" s="585"/>
      <c r="F5" s="585"/>
    </row>
    <row r="6" spans="1:6" ht="15.9" customHeight="1" x14ac:dyDescent="0.3">
      <c r="A6" s="4"/>
      <c r="B6" s="609">
        <v>45838</v>
      </c>
      <c r="C6" s="609"/>
      <c r="D6" s="609"/>
      <c r="E6" s="609"/>
      <c r="F6" s="609"/>
    </row>
    <row r="7" spans="1:6" ht="15.9" customHeight="1" x14ac:dyDescent="0.25">
      <c r="A7" s="4"/>
      <c r="B7" s="4"/>
      <c r="C7" s="4"/>
      <c r="D7" s="4"/>
      <c r="E7" s="4"/>
      <c r="F7" s="4"/>
    </row>
    <row r="8" spans="1:6" ht="21.75" customHeight="1" x14ac:dyDescent="0.25">
      <c r="A8" s="4"/>
      <c r="B8" s="610" t="s">
        <v>813</v>
      </c>
      <c r="C8" s="610"/>
      <c r="D8" s="610"/>
      <c r="E8" s="610"/>
      <c r="F8" s="610"/>
    </row>
    <row r="9" spans="1:6" ht="21.75" customHeight="1" x14ac:dyDescent="0.3">
      <c r="A9" s="4"/>
      <c r="B9" s="578" t="s">
        <v>888</v>
      </c>
      <c r="C9" s="578"/>
      <c r="D9" s="578"/>
      <c r="E9" s="578"/>
      <c r="F9" s="578"/>
    </row>
    <row r="10" spans="1:6" ht="21.75" customHeight="1" x14ac:dyDescent="0.25">
      <c r="A10" s="4"/>
      <c r="B10" s="578" t="s">
        <v>432</v>
      </c>
      <c r="C10" s="578"/>
      <c r="D10" s="578"/>
      <c r="E10" s="578"/>
      <c r="F10" s="578"/>
    </row>
    <row r="11" spans="1:6" ht="15.9" customHeight="1" thickBot="1" x14ac:dyDescent="0.3">
      <c r="A11" s="4"/>
      <c r="B11" s="4"/>
      <c r="C11" s="4"/>
      <c r="D11" s="4"/>
      <c r="E11" s="4"/>
      <c r="F11" s="4"/>
    </row>
    <row r="12" spans="1:6" ht="23.25" customHeight="1" thickBot="1" x14ac:dyDescent="0.35">
      <c r="A12" s="4"/>
      <c r="B12" s="306" t="s">
        <v>337</v>
      </c>
      <c r="C12" s="307"/>
      <c r="D12" s="307" t="s">
        <v>433</v>
      </c>
      <c r="E12" s="307"/>
      <c r="F12" s="308" t="s">
        <v>396</v>
      </c>
    </row>
    <row r="13" spans="1:6" ht="22.5" customHeight="1" x14ac:dyDescent="0.4">
      <c r="A13" s="4"/>
      <c r="B13" s="309" t="s">
        <v>434</v>
      </c>
      <c r="C13" s="310"/>
      <c r="D13" s="311" t="s">
        <v>435</v>
      </c>
      <c r="E13" s="310"/>
      <c r="F13" s="312">
        <v>1746748</v>
      </c>
    </row>
    <row r="14" spans="1:6" ht="23.25" customHeight="1" thickBot="1" x14ac:dyDescent="0.5">
      <c r="A14" s="4"/>
      <c r="B14" s="313" t="s">
        <v>330</v>
      </c>
      <c r="C14" s="314"/>
      <c r="D14" s="314"/>
      <c r="E14" s="314"/>
      <c r="F14" s="315">
        <f>SUM(F13:F13)</f>
        <v>1746748</v>
      </c>
    </row>
    <row r="15" spans="1:6" ht="15.9" customHeight="1" thickBot="1" x14ac:dyDescent="0.3">
      <c r="A15" s="4"/>
      <c r="B15" s="4"/>
      <c r="C15" s="4"/>
      <c r="D15" s="4"/>
      <c r="E15" s="4"/>
      <c r="F15" s="4"/>
    </row>
    <row r="16" spans="1:6" ht="24" customHeight="1" thickBot="1" x14ac:dyDescent="0.35">
      <c r="A16" s="4"/>
      <c r="B16" s="306" t="s">
        <v>335</v>
      </c>
      <c r="C16" s="307" t="s">
        <v>436</v>
      </c>
      <c r="D16" s="307"/>
      <c r="E16" s="307" t="s">
        <v>437</v>
      </c>
      <c r="F16" s="308" t="s">
        <v>336</v>
      </c>
    </row>
    <row r="17" spans="1:6" ht="46.5" customHeight="1" x14ac:dyDescent="0.3">
      <c r="A17" s="4"/>
      <c r="B17" s="316" t="s">
        <v>438</v>
      </c>
      <c r="C17" s="571" t="s">
        <v>799</v>
      </c>
      <c r="D17" s="310"/>
      <c r="E17" s="317">
        <v>45758</v>
      </c>
      <c r="F17" s="318">
        <f>+F13</f>
        <v>1746748</v>
      </c>
    </row>
    <row r="18" spans="1:6" ht="18.75" customHeight="1" x14ac:dyDescent="0.4">
      <c r="A18" s="4"/>
      <c r="B18" s="319"/>
      <c r="C18" s="320"/>
      <c r="D18" s="320"/>
      <c r="E18" s="330"/>
      <c r="F18" s="322"/>
    </row>
    <row r="19" spans="1:6" ht="15.9" customHeight="1" x14ac:dyDescent="0.25">
      <c r="A19" s="4"/>
      <c r="B19" s="4"/>
      <c r="C19" s="4"/>
      <c r="D19" s="4"/>
      <c r="E19" s="4"/>
      <c r="F19" s="4"/>
    </row>
    <row r="20" spans="1:6" ht="15.9" customHeight="1" x14ac:dyDescent="0.25">
      <c r="A20" s="4"/>
      <c r="B20" s="299" t="s">
        <v>412</v>
      </c>
      <c r="C20" s="299"/>
      <c r="D20" s="299"/>
      <c r="E20" s="299"/>
      <c r="F20" s="300">
        <f>+F17/12</f>
        <v>145562.33333333334</v>
      </c>
    </row>
    <row r="21" spans="1:6" ht="15.9" customHeight="1" x14ac:dyDescent="0.25">
      <c r="A21" s="4"/>
      <c r="B21" s="4"/>
      <c r="C21" s="4"/>
      <c r="D21" s="4"/>
      <c r="E21" s="4"/>
      <c r="F21" s="36"/>
    </row>
    <row r="22" spans="1:6" ht="15.9" customHeight="1" x14ac:dyDescent="0.25">
      <c r="A22" s="4"/>
      <c r="B22" s="5" t="s">
        <v>800</v>
      </c>
      <c r="C22" s="5" t="s">
        <v>805</v>
      </c>
      <c r="D22" s="36">
        <f>+F20</f>
        <v>145562.33333333334</v>
      </c>
      <c r="E22" s="64" t="s">
        <v>802</v>
      </c>
      <c r="F22" s="36">
        <f>+D22*9</f>
        <v>1310061</v>
      </c>
    </row>
    <row r="23" spans="1:6" ht="15.9" customHeight="1" x14ac:dyDescent="0.25">
      <c r="A23" s="4"/>
      <c r="B23" s="5"/>
      <c r="C23" s="5"/>
      <c r="D23" s="36"/>
      <c r="E23" s="5"/>
      <c r="F23" s="36"/>
    </row>
    <row r="24" spans="1:6" ht="15.9" customHeight="1" x14ac:dyDescent="0.25">
      <c r="A24" s="4"/>
      <c r="B24" s="5" t="s">
        <v>801</v>
      </c>
      <c r="C24" s="5" t="s">
        <v>804</v>
      </c>
      <c r="D24" s="36">
        <f>+F20</f>
        <v>145562.33333333334</v>
      </c>
      <c r="E24" s="64" t="s">
        <v>803</v>
      </c>
      <c r="F24" s="36">
        <f>+F17-F22</f>
        <v>436687</v>
      </c>
    </row>
    <row r="25" spans="1:6" ht="15.9" customHeight="1" x14ac:dyDescent="0.25">
      <c r="A25" s="4"/>
      <c r="B25" s="4"/>
      <c r="C25" s="5"/>
      <c r="D25" s="36"/>
      <c r="E25" s="4"/>
      <c r="F25" s="4"/>
    </row>
    <row r="26" spans="1:6" ht="15.9" customHeight="1" x14ac:dyDescent="0.25">
      <c r="A26" s="4"/>
      <c r="B26" s="4"/>
      <c r="C26" s="5"/>
      <c r="D26" s="36"/>
      <c r="E26" s="4"/>
      <c r="F26" s="4"/>
    </row>
    <row r="27" spans="1:6" ht="15.9" customHeight="1" x14ac:dyDescent="0.25">
      <c r="A27" s="4"/>
      <c r="B27" s="4"/>
      <c r="C27" s="5"/>
      <c r="D27" s="36"/>
      <c r="E27" s="4"/>
      <c r="F27" s="4"/>
    </row>
    <row r="28" spans="1:6" ht="18" customHeight="1" x14ac:dyDescent="0.25">
      <c r="A28" s="4"/>
      <c r="B28" s="4"/>
      <c r="C28" s="5"/>
      <c r="D28" s="30"/>
      <c r="E28" s="30"/>
      <c r="F28" s="36"/>
    </row>
    <row r="29" spans="1:6" ht="18" customHeight="1" x14ac:dyDescent="0.25">
      <c r="A29" s="4"/>
      <c r="B29" s="4" t="s">
        <v>747</v>
      </c>
      <c r="C29" s="30"/>
      <c r="D29" s="30"/>
      <c r="E29" s="30"/>
      <c r="F29" s="36">
        <f>+F20</f>
        <v>145562.33333333334</v>
      </c>
    </row>
    <row r="30" spans="1:6" ht="18" customHeight="1" x14ac:dyDescent="0.25">
      <c r="A30" s="4"/>
      <c r="B30" s="4" t="s">
        <v>748</v>
      </c>
      <c r="C30" s="37"/>
      <c r="D30" s="37"/>
      <c r="E30" s="37"/>
      <c r="F30" s="36">
        <f>+F29</f>
        <v>145562.33333333334</v>
      </c>
    </row>
    <row r="31" spans="1:6" ht="18" customHeight="1" x14ac:dyDescent="0.4">
      <c r="A31" s="4"/>
      <c r="B31" s="303" t="s">
        <v>749</v>
      </c>
      <c r="C31" s="37"/>
      <c r="D31" s="37"/>
      <c r="E31" s="37"/>
      <c r="F31" s="324">
        <v>145562.33333333334</v>
      </c>
    </row>
    <row r="32" spans="1:6" ht="18" hidden="1" customHeight="1" x14ac:dyDescent="0.25">
      <c r="A32" s="4"/>
      <c r="B32" s="4" t="s">
        <v>750</v>
      </c>
      <c r="C32" s="37"/>
      <c r="D32" s="37"/>
      <c r="E32" s="37"/>
      <c r="F32" s="36"/>
    </row>
    <row r="33" spans="1:7" ht="18" hidden="1" customHeight="1" x14ac:dyDescent="0.25">
      <c r="A33" s="4"/>
      <c r="B33" s="4" t="s">
        <v>598</v>
      </c>
      <c r="C33" s="30"/>
      <c r="D33" s="30"/>
      <c r="E33" s="30"/>
      <c r="F33" s="36"/>
    </row>
    <row r="34" spans="1:7" ht="18" hidden="1" customHeight="1" x14ac:dyDescent="0.25">
      <c r="A34" s="4"/>
      <c r="B34" s="4" t="s">
        <v>806</v>
      </c>
      <c r="C34" s="30"/>
      <c r="D34" s="30"/>
      <c r="E34" s="30"/>
      <c r="F34" s="36"/>
    </row>
    <row r="35" spans="1:7" ht="15" hidden="1" x14ac:dyDescent="0.25">
      <c r="A35" s="4"/>
      <c r="B35" s="4" t="s">
        <v>807</v>
      </c>
      <c r="C35" s="30"/>
      <c r="D35" s="30"/>
      <c r="E35" s="30"/>
      <c r="F35" s="36"/>
    </row>
    <row r="36" spans="1:7" ht="15" hidden="1" x14ac:dyDescent="0.25">
      <c r="A36" s="4"/>
      <c r="B36" s="301" t="s">
        <v>808</v>
      </c>
      <c r="C36" s="30"/>
      <c r="D36" s="30"/>
      <c r="E36" s="30"/>
      <c r="F36" s="323"/>
    </row>
    <row r="37" spans="1:7" ht="15" hidden="1" x14ac:dyDescent="0.25">
      <c r="A37" s="4"/>
      <c r="B37" s="4" t="s">
        <v>809</v>
      </c>
      <c r="C37" s="37"/>
      <c r="D37" s="37"/>
      <c r="E37" s="37"/>
      <c r="F37" s="323"/>
    </row>
    <row r="38" spans="1:7" ht="15" hidden="1" x14ac:dyDescent="0.25">
      <c r="A38" s="4"/>
      <c r="B38" s="4" t="s">
        <v>810</v>
      </c>
      <c r="C38" s="4"/>
      <c r="D38" s="4"/>
      <c r="E38" s="4"/>
      <c r="F38" s="323"/>
    </row>
    <row r="39" spans="1:7" ht="15" hidden="1" x14ac:dyDescent="0.25">
      <c r="A39" s="4"/>
      <c r="B39" s="4" t="s">
        <v>811</v>
      </c>
      <c r="C39" s="30"/>
      <c r="D39" s="30"/>
      <c r="E39" s="30"/>
      <c r="F39" s="36"/>
    </row>
    <row r="40" spans="1:7" ht="16.8" hidden="1" x14ac:dyDescent="0.4">
      <c r="A40" s="4"/>
      <c r="B40" s="30" t="s">
        <v>812</v>
      </c>
      <c r="C40" s="30"/>
      <c r="D40" s="30"/>
      <c r="E40" s="30"/>
      <c r="F40" s="324"/>
    </row>
    <row r="41" spans="1:7" ht="18" customHeight="1" x14ac:dyDescent="0.25">
      <c r="A41" s="4"/>
      <c r="B41" s="4"/>
      <c r="C41" s="30"/>
      <c r="D41" s="30"/>
      <c r="E41" s="30"/>
      <c r="F41" s="4"/>
      <c r="G41" s="25"/>
    </row>
    <row r="42" spans="1:7" ht="19.2" x14ac:dyDescent="0.6">
      <c r="A42" s="4"/>
      <c r="B42" s="517" t="s">
        <v>118</v>
      </c>
      <c r="C42" s="30"/>
      <c r="D42" s="30"/>
      <c r="E42" s="30"/>
      <c r="F42" s="325">
        <f>SUM(F28:F39)+0</f>
        <v>436687</v>
      </c>
    </row>
    <row r="43" spans="1:7" ht="25.5" customHeight="1" x14ac:dyDescent="0.45">
      <c r="A43" s="4"/>
      <c r="B43" s="30" t="s">
        <v>430</v>
      </c>
      <c r="C43" s="240"/>
      <c r="D43" s="240"/>
      <c r="E43" s="240"/>
      <c r="F43" s="326">
        <f>+F14-F42</f>
        <v>1310061</v>
      </c>
      <c r="G43" s="331"/>
    </row>
    <row r="44" spans="1:7" ht="15.9" customHeight="1" x14ac:dyDescent="0.3">
      <c r="A44" s="4"/>
      <c r="B44" s="240"/>
      <c r="C44" s="30"/>
      <c r="D44" s="30"/>
      <c r="E44" s="30"/>
      <c r="F44" s="323"/>
    </row>
    <row r="45" spans="1:7" ht="24.75" customHeight="1" x14ac:dyDescent="0.25">
      <c r="A45" s="4"/>
      <c r="B45" s="30"/>
      <c r="C45" s="30"/>
      <c r="D45" s="30"/>
      <c r="E45" s="30"/>
      <c r="F45" s="30"/>
      <c r="G45" s="30"/>
    </row>
    <row r="46" spans="1:7" ht="24.75" customHeight="1" x14ac:dyDescent="0.25">
      <c r="A46" s="4"/>
      <c r="B46" s="30"/>
      <c r="C46" s="30"/>
      <c r="D46" s="30"/>
      <c r="E46" s="30"/>
      <c r="F46" s="30"/>
      <c r="G46" s="30"/>
    </row>
    <row r="47" spans="1:7" ht="24.75" customHeight="1" x14ac:dyDescent="0.25">
      <c r="B47" s="30"/>
      <c r="C47" s="30"/>
      <c r="D47" s="30"/>
      <c r="E47" s="30"/>
      <c r="F47" s="30"/>
      <c r="G47" s="30"/>
    </row>
    <row r="48" spans="1:7" ht="24.75" customHeight="1" x14ac:dyDescent="0.25">
      <c r="B48" s="30"/>
      <c r="C48" s="30"/>
      <c r="D48" s="30"/>
      <c r="E48" s="30"/>
      <c r="F48" s="30"/>
      <c r="G48" s="30"/>
    </row>
    <row r="49" spans="2:7" ht="24.75" customHeight="1" x14ac:dyDescent="0.25">
      <c r="B49" s="30"/>
      <c r="C49" s="30"/>
      <c r="D49" s="30"/>
      <c r="E49" s="30"/>
      <c r="F49" s="30"/>
      <c r="G49" s="30"/>
    </row>
    <row r="50" spans="2:7" ht="24.75" customHeight="1" x14ac:dyDescent="0.25">
      <c r="B50" s="30"/>
      <c r="C50" s="30"/>
      <c r="D50" s="30"/>
      <c r="E50" s="30"/>
      <c r="F50" s="30"/>
      <c r="G50" s="30"/>
    </row>
    <row r="51" spans="2:7" ht="24.75" customHeight="1" x14ac:dyDescent="0.25">
      <c r="B51" s="30"/>
      <c r="C51" s="30"/>
      <c r="D51" s="30"/>
      <c r="E51" s="30"/>
      <c r="F51" s="30"/>
      <c r="G51" s="30"/>
    </row>
    <row r="52" spans="2:7" ht="24.75" customHeight="1" x14ac:dyDescent="0.25">
      <c r="B52" s="30"/>
      <c r="C52" s="30"/>
      <c r="D52" s="30"/>
      <c r="E52" s="30"/>
      <c r="F52" s="30"/>
      <c r="G52" s="30"/>
    </row>
    <row r="53" spans="2:7" ht="24.75" customHeight="1" x14ac:dyDescent="0.25">
      <c r="B53" s="30"/>
      <c r="C53" s="30"/>
      <c r="D53" s="30"/>
      <c r="E53" s="30"/>
      <c r="F53" s="30"/>
      <c r="G53" s="30"/>
    </row>
    <row r="55" spans="2:7" ht="24.75" customHeight="1" x14ac:dyDescent="0.25">
      <c r="D55" s="328"/>
    </row>
    <row r="56" spans="2:7" ht="24.75" customHeight="1" x14ac:dyDescent="0.25">
      <c r="D56" s="328"/>
    </row>
  </sheetData>
  <mergeCells count="7">
    <mergeCell ref="B10:F10"/>
    <mergeCell ref="B3:F3"/>
    <mergeCell ref="B4:F4"/>
    <mergeCell ref="B5:F5"/>
    <mergeCell ref="B6:F6"/>
    <mergeCell ref="B8:F8"/>
    <mergeCell ref="B9:F9"/>
  </mergeCells>
  <phoneticPr fontId="62" type="noConversion"/>
  <pageMargins left="0.70866141732283472" right="0.70866141732283472" top="0.74803149606299213" bottom="0.74803149606299213" header="0.31496062992125984" footer="0.31496062992125984"/>
  <pageSetup scale="8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A74F-8E1F-4C20-B40A-9CF8D7BFFBCF}">
  <sheetPr>
    <pageSetUpPr fitToPage="1"/>
  </sheetPr>
  <dimension ref="B5:F47"/>
  <sheetViews>
    <sheetView topLeftCell="A9" workbookViewId="0">
      <selection activeCell="B10" sqref="B10:F10"/>
    </sheetView>
  </sheetViews>
  <sheetFormatPr baseColWidth="10" defaultColWidth="11.44140625" defaultRowHeight="15" x14ac:dyDescent="0.25"/>
  <cols>
    <col min="1" max="1" width="2.5546875" style="4" customWidth="1"/>
    <col min="2" max="2" width="34.6640625" style="4" bestFit="1" customWidth="1"/>
    <col min="3" max="3" width="27.88671875" style="4" bestFit="1" customWidth="1"/>
    <col min="4" max="4" width="14.109375" style="4" bestFit="1" customWidth="1"/>
    <col min="5" max="5" width="11.44140625" style="4"/>
    <col min="6" max="6" width="16.44140625" style="4" bestFit="1" customWidth="1"/>
    <col min="7" max="16384" width="11.44140625" style="4"/>
  </cols>
  <sheetData>
    <row r="5" spans="2:6" ht="18" customHeight="1" x14ac:dyDescent="0.3">
      <c r="B5" s="585" t="s">
        <v>379</v>
      </c>
      <c r="C5" s="585"/>
      <c r="D5" s="585"/>
      <c r="E5" s="585"/>
      <c r="F5" s="585"/>
    </row>
    <row r="6" spans="2:6" ht="18" customHeight="1" x14ac:dyDescent="0.3">
      <c r="B6" s="585" t="s">
        <v>255</v>
      </c>
      <c r="C6" s="585"/>
      <c r="D6" s="585"/>
      <c r="E6" s="585"/>
      <c r="F6" s="585"/>
    </row>
    <row r="7" spans="2:6" ht="18" customHeight="1" x14ac:dyDescent="0.3">
      <c r="B7" s="585" t="s">
        <v>383</v>
      </c>
      <c r="C7" s="585"/>
      <c r="D7" s="585"/>
      <c r="E7" s="585"/>
      <c r="F7" s="585"/>
    </row>
    <row r="8" spans="2:6" ht="18" customHeight="1" x14ac:dyDescent="0.3">
      <c r="B8" s="609">
        <v>45838</v>
      </c>
      <c r="C8" s="609"/>
      <c r="D8" s="609"/>
      <c r="E8" s="609"/>
      <c r="F8" s="609"/>
    </row>
    <row r="10" spans="2:6" x14ac:dyDescent="0.25">
      <c r="B10" s="610" t="s">
        <v>444</v>
      </c>
      <c r="C10" s="610"/>
      <c r="D10" s="610"/>
      <c r="E10" s="610"/>
      <c r="F10" s="610"/>
    </row>
    <row r="11" spans="2:6" ht="15.6" x14ac:dyDescent="0.3">
      <c r="B11" s="578" t="s">
        <v>889</v>
      </c>
      <c r="C11" s="578"/>
      <c r="D11" s="578"/>
      <c r="E11" s="578"/>
      <c r="F11" s="578"/>
    </row>
    <row r="12" spans="2:6" x14ac:dyDescent="0.25">
      <c r="B12" s="578" t="s">
        <v>445</v>
      </c>
      <c r="C12" s="578"/>
      <c r="D12" s="578"/>
      <c r="E12" s="578"/>
      <c r="F12" s="578"/>
    </row>
    <row r="13" spans="2:6" ht="15.6" thickBot="1" x14ac:dyDescent="0.3"/>
    <row r="14" spans="2:6" ht="16.2" thickBot="1" x14ac:dyDescent="0.35">
      <c r="B14" s="306" t="s">
        <v>337</v>
      </c>
      <c r="C14" s="307"/>
      <c r="D14" s="307" t="s">
        <v>433</v>
      </c>
      <c r="E14" s="307"/>
      <c r="F14" s="308" t="s">
        <v>396</v>
      </c>
    </row>
    <row r="15" spans="2:6" ht="20.25" customHeight="1" x14ac:dyDescent="0.4">
      <c r="B15" s="309" t="s">
        <v>446</v>
      </c>
      <c r="C15" s="310"/>
      <c r="D15" s="311" t="s">
        <v>435</v>
      </c>
      <c r="E15" s="310"/>
      <c r="F15" s="312">
        <v>900000</v>
      </c>
    </row>
    <row r="16" spans="2:6" ht="18" thickBot="1" x14ac:dyDescent="0.5">
      <c r="B16" s="313" t="s">
        <v>330</v>
      </c>
      <c r="C16" s="314"/>
      <c r="D16" s="314"/>
      <c r="E16" s="314"/>
      <c r="F16" s="315">
        <f>SUM(F15:F15)</f>
        <v>900000</v>
      </c>
    </row>
    <row r="17" spans="2:6" ht="15.6" thickBot="1" x14ac:dyDescent="0.3"/>
    <row r="18" spans="2:6" ht="16.2" thickBot="1" x14ac:dyDescent="0.35">
      <c r="B18" s="306" t="s">
        <v>335</v>
      </c>
      <c r="C18" s="307" t="s">
        <v>436</v>
      </c>
      <c r="D18" s="307"/>
      <c r="E18" s="307" t="s">
        <v>437</v>
      </c>
      <c r="F18" s="308" t="s">
        <v>336</v>
      </c>
    </row>
    <row r="19" spans="2:6" x14ac:dyDescent="0.25">
      <c r="B19" s="332" t="s">
        <v>447</v>
      </c>
      <c r="C19" s="341" t="s">
        <v>448</v>
      </c>
      <c r="D19" s="333"/>
      <c r="E19" s="334">
        <v>45510</v>
      </c>
      <c r="F19" s="335">
        <v>900000</v>
      </c>
    </row>
    <row r="20" spans="2:6" ht="17.399999999999999" thickBot="1" x14ac:dyDescent="0.45">
      <c r="B20" s="336"/>
      <c r="C20" s="337"/>
      <c r="D20" s="337"/>
      <c r="E20" s="338"/>
      <c r="F20" s="339"/>
    </row>
    <row r="22" spans="2:6" x14ac:dyDescent="0.25">
      <c r="B22" s="299" t="s">
        <v>412</v>
      </c>
      <c r="C22" s="299"/>
      <c r="D22" s="299"/>
      <c r="E22" s="299"/>
      <c r="F22" s="300">
        <f>+F19/12</f>
        <v>75000</v>
      </c>
    </row>
    <row r="23" spans="2:6" x14ac:dyDescent="0.25">
      <c r="F23" s="36"/>
    </row>
    <row r="24" spans="2:6" x14ac:dyDescent="0.25">
      <c r="B24" s="5" t="s">
        <v>449</v>
      </c>
      <c r="C24" s="5" t="s">
        <v>450</v>
      </c>
      <c r="D24" s="36">
        <f>+F22</f>
        <v>75000</v>
      </c>
      <c r="E24" s="64" t="s">
        <v>451</v>
      </c>
      <c r="F24" s="36">
        <f>+D24*5</f>
        <v>375000</v>
      </c>
    </row>
    <row r="25" spans="2:6" x14ac:dyDescent="0.25">
      <c r="B25" s="5"/>
      <c r="C25" s="5"/>
      <c r="D25" s="36"/>
      <c r="E25" s="5"/>
      <c r="F25" s="36"/>
    </row>
    <row r="26" spans="2:6" x14ac:dyDescent="0.25">
      <c r="B26" s="5" t="s">
        <v>452</v>
      </c>
      <c r="C26" s="5" t="s">
        <v>453</v>
      </c>
      <c r="D26" s="36">
        <f>+F22</f>
        <v>75000</v>
      </c>
      <c r="E26" s="64" t="s">
        <v>454</v>
      </c>
      <c r="F26" s="36">
        <f>+D26*7</f>
        <v>525000</v>
      </c>
    </row>
    <row r="27" spans="2:6" x14ac:dyDescent="0.25">
      <c r="C27" s="5"/>
      <c r="D27" s="36"/>
    </row>
    <row r="28" spans="2:6" x14ac:dyDescent="0.25">
      <c r="C28" s="5"/>
      <c r="D28" s="36"/>
    </row>
    <row r="29" spans="2:6" x14ac:dyDescent="0.25">
      <c r="B29" s="4" t="s">
        <v>442</v>
      </c>
      <c r="C29" s="5"/>
      <c r="D29" s="36"/>
      <c r="F29" s="36">
        <v>75000</v>
      </c>
    </row>
    <row r="30" spans="2:6" x14ac:dyDescent="0.25">
      <c r="B30" s="30" t="s">
        <v>455</v>
      </c>
      <c r="C30" s="30"/>
      <c r="D30" s="30"/>
      <c r="E30" s="30"/>
      <c r="F30" s="36">
        <v>75000</v>
      </c>
    </row>
    <row r="31" spans="2:6" x14ac:dyDescent="0.25">
      <c r="B31" s="4" t="s">
        <v>456</v>
      </c>
      <c r="C31" s="30"/>
      <c r="D31" s="30"/>
      <c r="E31" s="30"/>
      <c r="F31" s="36">
        <v>75000</v>
      </c>
    </row>
    <row r="32" spans="2:6" x14ac:dyDescent="0.25">
      <c r="B32" s="301" t="s">
        <v>457</v>
      </c>
      <c r="C32" s="37"/>
      <c r="D32" s="37"/>
      <c r="E32" s="37"/>
      <c r="F32" s="36">
        <v>75000</v>
      </c>
    </row>
    <row r="33" spans="2:6" x14ac:dyDescent="0.25">
      <c r="B33" s="4" t="s">
        <v>458</v>
      </c>
      <c r="C33" s="37"/>
      <c r="D33" s="37"/>
      <c r="E33" s="37"/>
      <c r="F33" s="36">
        <v>75000</v>
      </c>
    </row>
    <row r="34" spans="2:6" x14ac:dyDescent="0.25">
      <c r="B34" s="4" t="s">
        <v>459</v>
      </c>
      <c r="C34" s="37"/>
      <c r="D34" s="37"/>
      <c r="E34" s="37"/>
      <c r="F34" s="36">
        <v>75000</v>
      </c>
    </row>
    <row r="35" spans="2:6" x14ac:dyDescent="0.25">
      <c r="B35" s="4" t="s">
        <v>443</v>
      </c>
      <c r="C35" s="30"/>
      <c r="D35" s="30"/>
      <c r="E35" s="30"/>
      <c r="F35" s="36">
        <v>75000</v>
      </c>
    </row>
    <row r="36" spans="2:6" x14ac:dyDescent="0.25">
      <c r="B36" s="4" t="s">
        <v>460</v>
      </c>
      <c r="C36" s="30"/>
      <c r="D36" s="30"/>
      <c r="E36" s="30"/>
      <c r="F36" s="36">
        <v>75000</v>
      </c>
    </row>
    <row r="37" spans="2:6" x14ac:dyDescent="0.25">
      <c r="B37" s="4" t="s">
        <v>461</v>
      </c>
      <c r="C37" s="30"/>
      <c r="D37" s="30"/>
      <c r="E37" s="30"/>
      <c r="F37" s="36">
        <v>75000</v>
      </c>
    </row>
    <row r="38" spans="2:6" x14ac:dyDescent="0.25">
      <c r="B38" s="30" t="s">
        <v>462</v>
      </c>
      <c r="C38" s="30"/>
      <c r="D38" s="30"/>
      <c r="E38" s="30"/>
      <c r="F38" s="36">
        <v>75000</v>
      </c>
    </row>
    <row r="39" spans="2:6" ht="16.8" x14ac:dyDescent="0.4">
      <c r="B39" s="303" t="s">
        <v>463</v>
      </c>
      <c r="C39" s="30"/>
      <c r="D39" s="30"/>
      <c r="E39" s="30"/>
      <c r="F39" s="324">
        <v>75000</v>
      </c>
    </row>
    <row r="40" spans="2:6" hidden="1" x14ac:dyDescent="0.25">
      <c r="B40" s="30" t="s">
        <v>464</v>
      </c>
      <c r="F40" s="36"/>
    </row>
    <row r="41" spans="2:6" ht="16.5" customHeight="1" x14ac:dyDescent="0.3">
      <c r="B41" s="240" t="s">
        <v>118</v>
      </c>
      <c r="C41" s="30"/>
      <c r="D41" s="30"/>
      <c r="E41" s="30"/>
      <c r="F41" s="340">
        <f>SUM(F29:F40)+0</f>
        <v>825000</v>
      </c>
    </row>
    <row r="42" spans="2:6" x14ac:dyDescent="0.25">
      <c r="B42" s="30"/>
      <c r="C42" s="30"/>
      <c r="D42" s="30"/>
      <c r="E42" s="30"/>
      <c r="F42" s="323"/>
    </row>
    <row r="43" spans="2:6" ht="17.399999999999999" x14ac:dyDescent="0.45">
      <c r="B43" s="240" t="s">
        <v>430</v>
      </c>
      <c r="C43" s="240"/>
      <c r="D43" s="240"/>
      <c r="E43" s="240"/>
      <c r="F43" s="326">
        <f>+F16-F41</f>
        <v>75000</v>
      </c>
    </row>
    <row r="44" spans="2:6" x14ac:dyDescent="0.25">
      <c r="B44" s="30"/>
      <c r="C44" s="30"/>
      <c r="D44" s="30"/>
      <c r="E44" s="30"/>
      <c r="F44" s="323"/>
    </row>
    <row r="47" spans="2:6" x14ac:dyDescent="0.25">
      <c r="F47" s="25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L51"/>
  <sheetViews>
    <sheetView topLeftCell="A21" zoomScale="90" zoomScaleNormal="90" workbookViewId="0">
      <selection activeCell="G13" sqref="G13:G22"/>
    </sheetView>
  </sheetViews>
  <sheetFormatPr baseColWidth="10" defaultColWidth="9.109375" defaultRowHeight="15" x14ac:dyDescent="0.25"/>
  <cols>
    <col min="1" max="1" width="49.44140625" style="4" customWidth="1"/>
    <col min="2" max="2" width="10.44140625" style="4" customWidth="1"/>
    <col min="3" max="3" width="28.6640625" style="36" bestFit="1" customWidth="1"/>
    <col min="4" max="4" width="26.109375" style="36" customWidth="1"/>
    <col min="5" max="5" width="28.109375" style="36" bestFit="1" customWidth="1"/>
    <col min="6" max="6" width="20.5546875" style="4" bestFit="1" customWidth="1"/>
    <col min="7" max="7" width="21.109375" style="4" customWidth="1"/>
    <col min="8" max="8" width="19.109375" style="4" bestFit="1" customWidth="1"/>
    <col min="9" max="16384" width="9.109375" style="4"/>
  </cols>
  <sheetData>
    <row r="1" spans="1:12" ht="24.75" customHeight="1" x14ac:dyDescent="0.25">
      <c r="A1" s="77"/>
      <c r="B1" s="77"/>
      <c r="C1" s="78"/>
      <c r="D1" s="78"/>
      <c r="E1" s="78"/>
    </row>
    <row r="2" spans="1:12" x14ac:dyDescent="0.25">
      <c r="A2" s="77"/>
      <c r="B2" s="77"/>
      <c r="C2" s="78"/>
      <c r="D2" s="78"/>
      <c r="E2" s="78"/>
    </row>
    <row r="3" spans="1:12" x14ac:dyDescent="0.25">
      <c r="A3" s="77"/>
      <c r="B3" s="77"/>
      <c r="C3" s="78"/>
      <c r="D3" s="78"/>
      <c r="E3" s="78"/>
    </row>
    <row r="4" spans="1:12" x14ac:dyDescent="0.25">
      <c r="A4" s="77"/>
      <c r="B4" s="77"/>
      <c r="C4" s="78"/>
      <c r="D4" s="78"/>
      <c r="E4" s="78"/>
    </row>
    <row r="5" spans="1:12" x14ac:dyDescent="0.25">
      <c r="A5" s="77"/>
      <c r="B5" s="77"/>
      <c r="C5" s="78"/>
      <c r="D5" s="78"/>
      <c r="E5" s="78"/>
      <c r="F5" s="79"/>
    </row>
    <row r="6" spans="1:12" s="10" customFormat="1" ht="26.25" customHeight="1" x14ac:dyDescent="0.3">
      <c r="A6" s="581" t="s">
        <v>1</v>
      </c>
      <c r="B6" s="581"/>
      <c r="C6" s="581"/>
      <c r="D6" s="581"/>
      <c r="E6" s="581"/>
      <c r="H6" s="80"/>
      <c r="I6" s="80"/>
      <c r="J6" s="80"/>
      <c r="K6" s="80"/>
      <c r="L6" s="80"/>
    </row>
    <row r="7" spans="1:12" s="10" customFormat="1" ht="26.25" customHeight="1" x14ac:dyDescent="0.3">
      <c r="A7" s="582" t="s">
        <v>41</v>
      </c>
      <c r="B7" s="582"/>
      <c r="C7" s="582"/>
      <c r="D7" s="582"/>
      <c r="E7" s="582"/>
      <c r="F7" s="43"/>
      <c r="H7" s="81"/>
      <c r="I7" s="81"/>
      <c r="J7" s="81"/>
      <c r="K7" s="81"/>
      <c r="L7" s="81"/>
    </row>
    <row r="8" spans="1:12" s="10" customFormat="1" ht="26.25" customHeight="1" x14ac:dyDescent="0.3">
      <c r="A8" s="583" t="s">
        <v>835</v>
      </c>
      <c r="B8" s="583"/>
      <c r="C8" s="583"/>
      <c r="D8" s="583"/>
      <c r="E8" s="583"/>
      <c r="F8" s="43"/>
      <c r="H8" s="82"/>
      <c r="I8" s="82"/>
      <c r="J8" s="82"/>
      <c r="K8" s="82"/>
      <c r="L8" s="82"/>
    </row>
    <row r="9" spans="1:12" s="10" customFormat="1" ht="26.25" customHeight="1" x14ac:dyDescent="0.3">
      <c r="A9" s="584" t="s">
        <v>3</v>
      </c>
      <c r="B9" s="584"/>
      <c r="C9" s="584"/>
      <c r="D9" s="584"/>
      <c r="E9" s="584"/>
      <c r="F9" s="43"/>
    </row>
    <row r="10" spans="1:12" s="10" customFormat="1" ht="17.399999999999999" x14ac:dyDescent="0.3">
      <c r="A10" s="41"/>
      <c r="B10" s="41"/>
      <c r="C10" s="41"/>
      <c r="D10" s="41"/>
      <c r="E10" s="41"/>
      <c r="F10" s="83"/>
    </row>
    <row r="11" spans="1:12" s="10" customFormat="1" ht="17.399999999999999" x14ac:dyDescent="0.3">
      <c r="C11" s="84"/>
      <c r="D11" s="84"/>
      <c r="E11" s="84"/>
    </row>
    <row r="12" spans="1:12" s="44" customFormat="1" ht="38.4" customHeight="1" x14ac:dyDescent="0.25">
      <c r="B12" s="85" t="s">
        <v>42</v>
      </c>
      <c r="C12" s="45" t="s">
        <v>43</v>
      </c>
      <c r="D12" s="45" t="s">
        <v>44</v>
      </c>
      <c r="E12" s="45" t="s">
        <v>7</v>
      </c>
    </row>
    <row r="13" spans="1:12" ht="23.25" customHeight="1" x14ac:dyDescent="0.3">
      <c r="A13" s="47" t="s">
        <v>45</v>
      </c>
      <c r="B13" s="47"/>
      <c r="C13" s="54"/>
      <c r="D13" s="54"/>
      <c r="E13" s="54"/>
    </row>
    <row r="14" spans="1:12" ht="21" customHeight="1" x14ac:dyDescent="0.25">
      <c r="A14" s="4" t="s">
        <v>46</v>
      </c>
      <c r="B14" s="5">
        <v>15</v>
      </c>
      <c r="C14" s="54">
        <v>1709914.86</v>
      </c>
      <c r="D14" s="54">
        <v>1709914.86</v>
      </c>
      <c r="E14" s="54">
        <f>C14-D14</f>
        <v>0</v>
      </c>
      <c r="F14" s="25"/>
    </row>
    <row r="15" spans="1:12" ht="21" customHeight="1" x14ac:dyDescent="0.25">
      <c r="A15" s="4" t="s">
        <v>47</v>
      </c>
      <c r="B15" s="5">
        <v>16</v>
      </c>
      <c r="C15" s="54">
        <f>+'A-RESULTADOS ANEXOS'!D23</f>
        <v>75668636.790000007</v>
      </c>
      <c r="D15" s="54">
        <f>+'A-RESULTADOS ANEXOS'!E23</f>
        <v>64908843.149999999</v>
      </c>
      <c r="E15" s="54">
        <f>C15-D15</f>
        <v>10759793.640000008</v>
      </c>
      <c r="F15" s="25"/>
    </row>
    <row r="16" spans="1:12" ht="21" customHeight="1" x14ac:dyDescent="0.25">
      <c r="A16" s="4" t="s">
        <v>48</v>
      </c>
      <c r="B16" s="5">
        <v>17</v>
      </c>
      <c r="C16" s="86">
        <f>+'A-RESULTADOS ANEXOS'!D29</f>
        <v>1348533.58</v>
      </c>
      <c r="D16" s="86">
        <f>+'A-RESULTADOS ANEXOS'!E29</f>
        <v>1118801.23</v>
      </c>
      <c r="E16" s="87">
        <f>C16-D16</f>
        <v>229732.35000000009</v>
      </c>
      <c r="F16" s="25"/>
    </row>
    <row r="17" spans="1:6" ht="21" customHeight="1" x14ac:dyDescent="0.3">
      <c r="A17" s="47" t="s">
        <v>49</v>
      </c>
      <c r="B17" s="35"/>
      <c r="C17" s="73">
        <f>SUM(C14:C16)</f>
        <v>78727085.230000004</v>
      </c>
      <c r="D17" s="73">
        <f>SUM(D14:D16)</f>
        <v>67737559.239999995</v>
      </c>
      <c r="E17" s="73">
        <f>SUM(E14:E16)</f>
        <v>10989525.990000008</v>
      </c>
      <c r="F17" s="25"/>
    </row>
    <row r="18" spans="1:6" x14ac:dyDescent="0.25">
      <c r="B18" s="5"/>
      <c r="C18" s="54"/>
      <c r="D18" s="54"/>
      <c r="E18" s="54"/>
      <c r="F18" s="25"/>
    </row>
    <row r="19" spans="1:6" x14ac:dyDescent="0.25">
      <c r="B19" s="5"/>
      <c r="C19" s="54"/>
      <c r="D19" s="54"/>
      <c r="E19" s="54"/>
      <c r="F19" s="25"/>
    </row>
    <row r="20" spans="1:6" ht="23.25" customHeight="1" x14ac:dyDescent="0.3">
      <c r="A20" s="47" t="s">
        <v>50</v>
      </c>
      <c r="B20" s="35"/>
      <c r="F20" s="25"/>
    </row>
    <row r="21" spans="1:6" ht="21" customHeight="1" x14ac:dyDescent="0.25">
      <c r="A21" s="4" t="s">
        <v>51</v>
      </c>
      <c r="B21" s="5">
        <v>18</v>
      </c>
      <c r="C21" s="54">
        <f>+'A-RESULTADOS ANEXOS'!D51</f>
        <v>110038214.13</v>
      </c>
      <c r="D21" s="54">
        <f>+'A-RESULTADOS ANEXOS'!E51</f>
        <v>92085652.519999996</v>
      </c>
      <c r="E21" s="54">
        <f>C21-D21</f>
        <v>17952561.609999999</v>
      </c>
      <c r="F21" s="25"/>
    </row>
    <row r="22" spans="1:6" ht="21" customHeight="1" x14ac:dyDescent="0.25">
      <c r="A22" s="4" t="s">
        <v>52</v>
      </c>
      <c r="B22" s="5">
        <v>19</v>
      </c>
      <c r="C22" s="54">
        <f>+'A-RESULTADOS ANEXOS'!D89</f>
        <v>94944915.719999999</v>
      </c>
      <c r="D22" s="54">
        <f>+'A-RESULTADOS ANEXOS'!E89</f>
        <v>87576999.439999998</v>
      </c>
      <c r="E22" s="54">
        <f>C22-D22</f>
        <v>7367916.2800000012</v>
      </c>
      <c r="F22" s="25"/>
    </row>
    <row r="23" spans="1:6" ht="21" customHeight="1" x14ac:dyDescent="0.25">
      <c r="A23" s="4" t="s">
        <v>53</v>
      </c>
      <c r="B23" s="5">
        <v>20</v>
      </c>
      <c r="C23" s="54">
        <f>+'A-RESULTADOS ANEXOS'!D109</f>
        <v>13829146.199999999</v>
      </c>
      <c r="D23" s="54">
        <f>+'A-RESULTADOS ANEXOS'!E109</f>
        <v>10728140.640000001</v>
      </c>
      <c r="E23" s="54">
        <f>C23-D23</f>
        <v>3101005.5599999987</v>
      </c>
      <c r="F23" s="25"/>
    </row>
    <row r="24" spans="1:6" ht="21" customHeight="1" x14ac:dyDescent="0.25">
      <c r="A24" s="4" t="s">
        <v>54</v>
      </c>
      <c r="B24" s="5">
        <v>21</v>
      </c>
      <c r="C24" s="87">
        <f>+'A-RESULTADOS ANEXOS'!D124</f>
        <v>230377661.34</v>
      </c>
      <c r="D24" s="87">
        <f>+'A-RESULTADOS ANEXOS'!E124</f>
        <v>230421053.81</v>
      </c>
      <c r="E24" s="87">
        <f>C24-D24</f>
        <v>-43392.469999998808</v>
      </c>
      <c r="F24" s="25"/>
    </row>
    <row r="25" spans="1:6" ht="23.25" customHeight="1" x14ac:dyDescent="0.3">
      <c r="A25" s="47" t="s">
        <v>55</v>
      </c>
      <c r="B25" s="35"/>
      <c r="C25" s="73">
        <f>SUM(C21:C24)</f>
        <v>449189937.38999999</v>
      </c>
      <c r="D25" s="73">
        <f>SUM(D21:D24)</f>
        <v>420811846.40999997</v>
      </c>
      <c r="E25" s="73">
        <f>SUM(E21:E24)</f>
        <v>28378090.98</v>
      </c>
      <c r="F25" s="25"/>
    </row>
    <row r="26" spans="1:6" x14ac:dyDescent="0.25">
      <c r="B26" s="5"/>
      <c r="C26" s="54"/>
      <c r="D26" s="54"/>
      <c r="E26" s="54"/>
      <c r="F26" s="25"/>
    </row>
    <row r="27" spans="1:6" ht="22.5" customHeight="1" x14ac:dyDescent="0.3">
      <c r="A27" s="47" t="s">
        <v>56</v>
      </c>
      <c r="B27" s="35"/>
      <c r="C27" s="36">
        <f>+C17-C25</f>
        <v>-370462852.15999997</v>
      </c>
      <c r="D27" s="36">
        <f>+D17-D25</f>
        <v>-353074287.16999996</v>
      </c>
      <c r="E27" s="36">
        <f>+E17-E25</f>
        <v>-17388564.989999995</v>
      </c>
      <c r="F27" s="25"/>
    </row>
    <row r="28" spans="1:6" x14ac:dyDescent="0.25">
      <c r="B28" s="5"/>
      <c r="C28" s="54"/>
      <c r="D28" s="54"/>
      <c r="E28" s="54"/>
      <c r="F28" s="25"/>
    </row>
    <row r="29" spans="1:6" ht="23.25" customHeight="1" x14ac:dyDescent="0.3">
      <c r="A29" s="47" t="s">
        <v>57</v>
      </c>
      <c r="B29" s="35"/>
      <c r="F29" s="25"/>
    </row>
    <row r="30" spans="1:6" ht="21" customHeight="1" x14ac:dyDescent="0.25">
      <c r="A30" s="4" t="s">
        <v>58</v>
      </c>
      <c r="B30" s="5">
        <v>22</v>
      </c>
      <c r="C30" s="36">
        <f>+'A-RESULTADOS ANEXOS'!D128</f>
        <v>53728.87</v>
      </c>
      <c r="D30" s="36">
        <f>+'A-RESULTADOS ANEXOS'!E128</f>
        <v>53728.87</v>
      </c>
      <c r="E30" s="36">
        <f>C30-D30</f>
        <v>0</v>
      </c>
      <c r="F30" s="25"/>
    </row>
    <row r="31" spans="1:6" ht="21" customHeight="1" x14ac:dyDescent="0.25">
      <c r="A31" s="4" t="s">
        <v>59</v>
      </c>
      <c r="B31" s="5"/>
      <c r="C31" s="87">
        <f>+'A-RESULTADOS ANEXOS'!D129</f>
        <v>-62596.25</v>
      </c>
      <c r="D31" s="87">
        <v>-62596.25</v>
      </c>
      <c r="E31" s="87">
        <f>+C31-D31</f>
        <v>0</v>
      </c>
      <c r="F31" s="25"/>
    </row>
    <row r="32" spans="1:6" ht="39.75" customHeight="1" x14ac:dyDescent="0.3">
      <c r="A32" s="88" t="s">
        <v>60</v>
      </c>
      <c r="B32" s="47"/>
      <c r="C32" s="73">
        <f>SUM(C30:C31)</f>
        <v>-8867.3799999999974</v>
      </c>
      <c r="D32" s="73">
        <f>SUM(D30:D31)</f>
        <v>-8867.3799999999974</v>
      </c>
      <c r="E32" s="73">
        <f>SUM(E30:E31)</f>
        <v>0</v>
      </c>
      <c r="F32" s="25"/>
    </row>
    <row r="33" spans="1:6" x14ac:dyDescent="0.25">
      <c r="C33" s="54"/>
      <c r="D33" s="54"/>
      <c r="E33" s="54"/>
      <c r="F33" s="25"/>
    </row>
    <row r="34" spans="1:6" x14ac:dyDescent="0.25">
      <c r="C34" s="54"/>
      <c r="D34" s="54"/>
      <c r="E34" s="54"/>
      <c r="F34" s="25"/>
    </row>
    <row r="35" spans="1:6" x14ac:dyDescent="0.25">
      <c r="C35" s="54"/>
      <c r="D35" s="54"/>
      <c r="E35" s="54"/>
      <c r="F35" s="25"/>
    </row>
    <row r="36" spans="1:6" ht="30" customHeight="1" thickBot="1" x14ac:dyDescent="0.35">
      <c r="A36" s="47" t="s">
        <v>61</v>
      </c>
      <c r="B36" s="89"/>
      <c r="C36" s="90">
        <f>C27+C32</f>
        <v>-370471719.53999996</v>
      </c>
      <c r="D36" s="90">
        <f>D27+D32</f>
        <v>-353083154.54999995</v>
      </c>
      <c r="E36" s="90">
        <f>E27+E32</f>
        <v>-17388564.989999995</v>
      </c>
      <c r="F36" s="25"/>
    </row>
    <row r="37" spans="1:6" ht="15.6" thickTop="1" x14ac:dyDescent="0.25">
      <c r="C37" s="91">
        <f>C27-C36+C32</f>
        <v>-4.765752237290144E-9</v>
      </c>
      <c r="D37" s="91">
        <f>D27-D36+D32</f>
        <v>-4.765752237290144E-9</v>
      </c>
      <c r="E37" s="91">
        <f>E27-E36+E32</f>
        <v>0</v>
      </c>
      <c r="F37" s="25"/>
    </row>
    <row r="38" spans="1:6" x14ac:dyDescent="0.25">
      <c r="C38" s="92"/>
      <c r="D38" s="93"/>
      <c r="E38" s="94"/>
      <c r="F38" s="25"/>
    </row>
    <row r="39" spans="1:6" x14ac:dyDescent="0.25">
      <c r="C39" s="95"/>
      <c r="D39" s="93"/>
      <c r="E39" s="94"/>
      <c r="F39" s="25"/>
    </row>
    <row r="40" spans="1:6" x14ac:dyDescent="0.25">
      <c r="A40" s="77"/>
      <c r="B40" s="77"/>
      <c r="C40" s="78"/>
      <c r="D40" s="78"/>
      <c r="E40" s="78"/>
      <c r="F40" s="25"/>
    </row>
    <row r="41" spans="1:6" x14ac:dyDescent="0.25">
      <c r="A41" s="96"/>
      <c r="B41" s="96"/>
      <c r="C41" s="78"/>
      <c r="D41" s="78"/>
      <c r="E41" s="78"/>
      <c r="F41" s="25"/>
    </row>
    <row r="42" spans="1:6" x14ac:dyDescent="0.25">
      <c r="A42" s="78"/>
      <c r="B42" s="78"/>
      <c r="C42" s="78"/>
      <c r="D42" s="78"/>
      <c r="E42" s="78"/>
    </row>
    <row r="43" spans="1:6" x14ac:dyDescent="0.25">
      <c r="A43" s="78"/>
      <c r="B43" s="78"/>
      <c r="C43" s="78"/>
      <c r="D43" s="78"/>
      <c r="E43" s="78"/>
    </row>
    <row r="44" spans="1:6" s="47" customFormat="1" ht="15.6" x14ac:dyDescent="0.3">
      <c r="A44" s="97" t="s">
        <v>62</v>
      </c>
      <c r="B44" s="98"/>
      <c r="C44" s="98"/>
      <c r="D44" s="588" t="s">
        <v>36</v>
      </c>
      <c r="E44" s="588"/>
    </row>
    <row r="45" spans="1:6" ht="18.75" customHeight="1" x14ac:dyDescent="0.25">
      <c r="A45" s="99" t="str">
        <f>+'Estado Situación'!A57</f>
        <v>Encargado División de Contabilidad</v>
      </c>
      <c r="B45" s="78"/>
      <c r="C45" s="78"/>
      <c r="D45" s="589" t="s">
        <v>38</v>
      </c>
      <c r="E45" s="589"/>
    </row>
    <row r="46" spans="1:6" ht="32.25" customHeight="1" x14ac:dyDescent="0.25">
      <c r="A46" s="96"/>
      <c r="B46" s="96"/>
      <c r="C46" s="78"/>
      <c r="D46" s="78"/>
      <c r="E46" s="78"/>
    </row>
    <row r="47" spans="1:6" x14ac:dyDescent="0.25">
      <c r="A47" s="77"/>
      <c r="B47" s="77"/>
      <c r="C47" s="78"/>
      <c r="D47" s="78"/>
      <c r="E47" s="78"/>
    </row>
    <row r="48" spans="1:6" x14ac:dyDescent="0.25">
      <c r="A48" s="77"/>
      <c r="B48" s="77"/>
      <c r="C48" s="78"/>
      <c r="D48" s="78"/>
      <c r="E48" s="78"/>
    </row>
    <row r="49" spans="1:5" s="47" customFormat="1" ht="15.6" x14ac:dyDescent="0.3">
      <c r="A49" s="586" t="s">
        <v>39</v>
      </c>
      <c r="B49" s="586"/>
      <c r="C49" s="586"/>
      <c r="D49" s="586"/>
      <c r="E49" s="586"/>
    </row>
    <row r="50" spans="1:5" x14ac:dyDescent="0.25">
      <c r="A50" s="587" t="s">
        <v>40</v>
      </c>
      <c r="B50" s="587"/>
      <c r="C50" s="587"/>
      <c r="D50" s="587"/>
      <c r="E50" s="587"/>
    </row>
    <row r="51" spans="1:5" x14ac:dyDescent="0.25">
      <c r="A51" s="77"/>
      <c r="B51" s="77"/>
      <c r="C51" s="78"/>
      <c r="D51" s="78"/>
      <c r="E51" s="78"/>
    </row>
  </sheetData>
  <mergeCells count="8">
    <mergeCell ref="A49:E49"/>
    <mergeCell ref="A50:E50"/>
    <mergeCell ref="A6:E6"/>
    <mergeCell ref="A7:E7"/>
    <mergeCell ref="A8:E8"/>
    <mergeCell ref="A9:E9"/>
    <mergeCell ref="D44:E44"/>
    <mergeCell ref="D45:E45"/>
  </mergeCells>
  <phoneticPr fontId="62" type="noConversion"/>
  <pageMargins left="0.82677165354330717" right="0.78740157480314965" top="0.43307086614173229" bottom="0.82677165354330717" header="0" footer="0"/>
  <pageSetup scale="62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FAAC-D7A2-489E-BF22-5E6D40370F14}">
  <sheetPr>
    <pageSetUpPr fitToPage="1"/>
  </sheetPr>
  <dimension ref="B5:F48"/>
  <sheetViews>
    <sheetView topLeftCell="A8" workbookViewId="0">
      <selection activeCell="B10" sqref="B10:F10"/>
    </sheetView>
  </sheetViews>
  <sheetFormatPr baseColWidth="10" defaultColWidth="11.44140625" defaultRowHeight="15" x14ac:dyDescent="0.25"/>
  <cols>
    <col min="1" max="1" width="2.5546875" style="4" customWidth="1"/>
    <col min="2" max="2" width="36.5546875" style="4" customWidth="1"/>
    <col min="3" max="3" width="27.88671875" style="4" bestFit="1" customWidth="1"/>
    <col min="4" max="4" width="14.109375" style="4" bestFit="1" customWidth="1"/>
    <col min="5" max="5" width="12.109375" style="4" bestFit="1" customWidth="1"/>
    <col min="6" max="6" width="17" style="4" bestFit="1" customWidth="1"/>
    <col min="7" max="16384" width="11.44140625" style="4"/>
  </cols>
  <sheetData>
    <row r="5" spans="2:6" ht="21.75" customHeight="1" x14ac:dyDescent="0.3">
      <c r="B5" s="585" t="s">
        <v>379</v>
      </c>
      <c r="C5" s="585"/>
      <c r="D5" s="585"/>
      <c r="E5" s="585"/>
      <c r="F5" s="585"/>
    </row>
    <row r="6" spans="2:6" ht="21.75" customHeight="1" x14ac:dyDescent="0.3">
      <c r="B6" s="585" t="s">
        <v>255</v>
      </c>
      <c r="C6" s="585"/>
      <c r="D6" s="585"/>
      <c r="E6" s="585"/>
      <c r="F6" s="585"/>
    </row>
    <row r="7" spans="2:6" ht="21.75" customHeight="1" x14ac:dyDescent="0.3">
      <c r="B7" s="585" t="s">
        <v>384</v>
      </c>
      <c r="C7" s="585"/>
      <c r="D7" s="585"/>
      <c r="E7" s="585"/>
      <c r="F7" s="585"/>
    </row>
    <row r="8" spans="2:6" ht="21.75" customHeight="1" x14ac:dyDescent="0.3">
      <c r="B8" s="609">
        <v>45838</v>
      </c>
      <c r="C8" s="609"/>
      <c r="D8" s="609"/>
      <c r="E8" s="609"/>
      <c r="F8" s="609"/>
    </row>
    <row r="10" spans="2:6" ht="18" customHeight="1" x14ac:dyDescent="0.25">
      <c r="B10" s="610" t="s">
        <v>444</v>
      </c>
      <c r="C10" s="610"/>
      <c r="D10" s="610"/>
      <c r="E10" s="610"/>
      <c r="F10" s="610"/>
    </row>
    <row r="11" spans="2:6" ht="18" customHeight="1" x14ac:dyDescent="0.3">
      <c r="B11" s="578" t="s">
        <v>888</v>
      </c>
      <c r="C11" s="578"/>
      <c r="D11" s="578"/>
      <c r="E11" s="578"/>
      <c r="F11" s="578"/>
    </row>
    <row r="12" spans="2:6" ht="18" customHeight="1" x14ac:dyDescent="0.3">
      <c r="B12" s="611" t="s">
        <v>465</v>
      </c>
      <c r="C12" s="611"/>
      <c r="D12" s="611"/>
      <c r="E12" s="611"/>
      <c r="F12" s="611"/>
    </row>
    <row r="13" spans="2:6" ht="15.6" thickBot="1" x14ac:dyDescent="0.3"/>
    <row r="14" spans="2:6" ht="16.2" thickBot="1" x14ac:dyDescent="0.35">
      <c r="B14" s="306" t="s">
        <v>337</v>
      </c>
      <c r="C14" s="307"/>
      <c r="D14" s="307" t="s">
        <v>433</v>
      </c>
      <c r="E14" s="307"/>
      <c r="F14" s="308" t="s">
        <v>396</v>
      </c>
    </row>
    <row r="15" spans="2:6" ht="20.25" customHeight="1" x14ac:dyDescent="0.4">
      <c r="B15" s="309" t="s">
        <v>465</v>
      </c>
      <c r="C15" s="310"/>
      <c r="D15" s="311" t="s">
        <v>435</v>
      </c>
      <c r="E15" s="310"/>
      <c r="F15" s="312">
        <v>1445000</v>
      </c>
    </row>
    <row r="16" spans="2:6" ht="18" thickBot="1" x14ac:dyDescent="0.5">
      <c r="B16" s="313" t="s">
        <v>330</v>
      </c>
      <c r="C16" s="314"/>
      <c r="D16" s="314"/>
      <c r="E16" s="314"/>
      <c r="F16" s="315">
        <f>SUM(F15:F15)</f>
        <v>1445000</v>
      </c>
    </row>
    <row r="17" spans="2:6" ht="15.6" thickBot="1" x14ac:dyDescent="0.3"/>
    <row r="18" spans="2:6" ht="16.2" thickBot="1" x14ac:dyDescent="0.35">
      <c r="B18" s="306" t="s">
        <v>335</v>
      </c>
      <c r="C18" s="307" t="s">
        <v>436</v>
      </c>
      <c r="D18" s="307"/>
      <c r="E18" s="307" t="s">
        <v>437</v>
      </c>
      <c r="F18" s="308" t="s">
        <v>336</v>
      </c>
    </row>
    <row r="19" spans="2:6" x14ac:dyDescent="0.25">
      <c r="B19" s="316" t="s">
        <v>438</v>
      </c>
      <c r="C19" s="341" t="s">
        <v>692</v>
      </c>
      <c r="D19" s="333"/>
      <c r="E19" s="334">
        <v>45531</v>
      </c>
      <c r="F19" s="335">
        <f>+F16</f>
        <v>1445000</v>
      </c>
    </row>
    <row r="20" spans="2:6" ht="17.399999999999999" thickBot="1" x14ac:dyDescent="0.45">
      <c r="B20" s="336"/>
      <c r="C20" s="337"/>
      <c r="D20" s="337"/>
      <c r="E20" s="338"/>
      <c r="F20" s="339"/>
    </row>
    <row r="22" spans="2:6" ht="15.6" x14ac:dyDescent="0.3">
      <c r="B22" s="342" t="s">
        <v>412</v>
      </c>
      <c r="C22" s="342"/>
      <c r="D22" s="342"/>
      <c r="E22" s="342"/>
      <c r="F22" s="343">
        <f>+F19/12</f>
        <v>120416.66666666667</v>
      </c>
    </row>
    <row r="23" spans="2:6" x14ac:dyDescent="0.25">
      <c r="F23" s="36"/>
    </row>
    <row r="24" spans="2:6" x14ac:dyDescent="0.25">
      <c r="B24" s="5" t="s">
        <v>449</v>
      </c>
      <c r="C24" s="5" t="s">
        <v>450</v>
      </c>
      <c r="D24" s="36">
        <f>+F22</f>
        <v>120416.66666666667</v>
      </c>
      <c r="E24" s="64" t="s">
        <v>451</v>
      </c>
      <c r="F24" s="36">
        <f>+F22*5</f>
        <v>602083.33333333337</v>
      </c>
    </row>
    <row r="25" spans="2:6" x14ac:dyDescent="0.25">
      <c r="B25" s="5"/>
      <c r="C25" s="5"/>
      <c r="D25" s="36"/>
      <c r="E25" s="5"/>
      <c r="F25" s="36"/>
    </row>
    <row r="26" spans="2:6" x14ac:dyDescent="0.25">
      <c r="B26" s="5" t="s">
        <v>452</v>
      </c>
      <c r="C26" s="5" t="s">
        <v>453</v>
      </c>
      <c r="D26" s="36">
        <f>+F22</f>
        <v>120416.66666666667</v>
      </c>
      <c r="E26" s="64" t="s">
        <v>466</v>
      </c>
      <c r="F26" s="36">
        <f>+F19-F24</f>
        <v>842916.66666666663</v>
      </c>
    </row>
    <row r="27" spans="2:6" x14ac:dyDescent="0.25">
      <c r="C27" s="5"/>
      <c r="D27" s="36"/>
    </row>
    <row r="28" spans="2:6" x14ac:dyDescent="0.25">
      <c r="C28" s="5"/>
      <c r="D28" s="36"/>
    </row>
    <row r="29" spans="2:6" x14ac:dyDescent="0.25">
      <c r="B29" s="4" t="s">
        <v>688</v>
      </c>
      <c r="C29" s="5"/>
      <c r="D29" s="36"/>
      <c r="F29" s="36">
        <f>+F19/12</f>
        <v>120416.66666666667</v>
      </c>
    </row>
    <row r="30" spans="2:6" x14ac:dyDescent="0.25">
      <c r="B30" s="4" t="s">
        <v>455</v>
      </c>
      <c r="C30" s="5"/>
      <c r="D30" s="36"/>
      <c r="F30" s="36">
        <f>+F29</f>
        <v>120416.66666666667</v>
      </c>
    </row>
    <row r="31" spans="2:6" x14ac:dyDescent="0.25">
      <c r="B31" s="4" t="s">
        <v>456</v>
      </c>
      <c r="C31" s="30"/>
      <c r="D31" s="30"/>
      <c r="E31" s="30"/>
      <c r="F31" s="36">
        <f>+F29</f>
        <v>120416.66666666667</v>
      </c>
    </row>
    <row r="32" spans="2:6" x14ac:dyDescent="0.25">
      <c r="B32" s="4" t="s">
        <v>457</v>
      </c>
      <c r="C32" s="30"/>
      <c r="D32" s="30"/>
      <c r="E32" s="30"/>
      <c r="F32" s="36">
        <f t="shared" ref="F32:F39" si="0">+F31</f>
        <v>120416.66666666667</v>
      </c>
    </row>
    <row r="33" spans="2:6" x14ac:dyDescent="0.25">
      <c r="B33" s="4" t="s">
        <v>458</v>
      </c>
      <c r="C33" s="37"/>
      <c r="D33" s="37"/>
      <c r="E33" s="37"/>
      <c r="F33" s="36">
        <f t="shared" si="0"/>
        <v>120416.66666666667</v>
      </c>
    </row>
    <row r="34" spans="2:6" x14ac:dyDescent="0.25">
      <c r="B34" s="4" t="s">
        <v>459</v>
      </c>
      <c r="C34" s="37"/>
      <c r="D34" s="37"/>
      <c r="E34" s="37"/>
      <c r="F34" s="36">
        <f t="shared" si="0"/>
        <v>120416.66666666667</v>
      </c>
    </row>
    <row r="35" spans="2:6" x14ac:dyDescent="0.25">
      <c r="B35" s="4" t="s">
        <v>443</v>
      </c>
      <c r="C35" s="37"/>
      <c r="D35" s="37"/>
      <c r="E35" s="37"/>
      <c r="F35" s="36">
        <f t="shared" si="0"/>
        <v>120416.66666666667</v>
      </c>
    </row>
    <row r="36" spans="2:6" x14ac:dyDescent="0.25">
      <c r="B36" s="4" t="s">
        <v>460</v>
      </c>
      <c r="C36" s="30"/>
      <c r="D36" s="30"/>
      <c r="E36" s="30"/>
      <c r="F36" s="36">
        <f t="shared" si="0"/>
        <v>120416.66666666667</v>
      </c>
    </row>
    <row r="37" spans="2:6" x14ac:dyDescent="0.25">
      <c r="B37" s="4" t="s">
        <v>461</v>
      </c>
      <c r="C37" s="30"/>
      <c r="D37" s="30"/>
      <c r="E37" s="30"/>
      <c r="F37" s="36">
        <f t="shared" si="0"/>
        <v>120416.66666666667</v>
      </c>
    </row>
    <row r="38" spans="2:6" x14ac:dyDescent="0.25">
      <c r="B38" s="37" t="s">
        <v>462</v>
      </c>
      <c r="C38" s="30"/>
      <c r="D38" s="30"/>
      <c r="E38" s="30"/>
      <c r="F38" s="36">
        <f t="shared" si="0"/>
        <v>120416.66666666667</v>
      </c>
    </row>
    <row r="39" spans="2:6" ht="16.8" x14ac:dyDescent="0.4">
      <c r="B39" s="4" t="s">
        <v>463</v>
      </c>
      <c r="C39" s="30"/>
      <c r="D39" s="30"/>
      <c r="E39" s="30"/>
      <c r="F39" s="324">
        <f t="shared" si="0"/>
        <v>120416.66666666667</v>
      </c>
    </row>
    <row r="40" spans="2:6" hidden="1" x14ac:dyDescent="0.25">
      <c r="B40" s="30" t="s">
        <v>464</v>
      </c>
      <c r="C40" s="30"/>
      <c r="D40" s="30"/>
      <c r="E40" s="30"/>
      <c r="F40" s="36"/>
    </row>
    <row r="41" spans="2:6" hidden="1" x14ac:dyDescent="0.25">
      <c r="B41" s="30" t="s">
        <v>598</v>
      </c>
      <c r="F41" s="36"/>
    </row>
    <row r="42" spans="2:6" ht="15.6" x14ac:dyDescent="0.3">
      <c r="B42" s="240" t="s">
        <v>118</v>
      </c>
      <c r="C42" s="30"/>
      <c r="D42" s="30"/>
      <c r="E42" s="30"/>
      <c r="F42" s="340">
        <f>SUM(F29:F41)+0</f>
        <v>1324583.3333333335</v>
      </c>
    </row>
    <row r="43" spans="2:6" x14ac:dyDescent="0.25">
      <c r="B43" s="30"/>
      <c r="C43" s="30"/>
      <c r="D43" s="30"/>
      <c r="E43" s="30"/>
      <c r="F43" s="323"/>
    </row>
    <row r="44" spans="2:6" ht="17.399999999999999" x14ac:dyDescent="0.45">
      <c r="B44" s="240" t="s">
        <v>430</v>
      </c>
      <c r="C44" s="240"/>
      <c r="D44" s="240"/>
      <c r="E44" s="240"/>
      <c r="F44" s="326">
        <f>+F16-F42</f>
        <v>120416.66666666651</v>
      </c>
    </row>
    <row r="45" spans="2:6" x14ac:dyDescent="0.25">
      <c r="B45" s="30"/>
      <c r="C45" s="30"/>
      <c r="D45" s="30"/>
      <c r="E45" s="30"/>
      <c r="F45" s="323"/>
    </row>
    <row r="48" spans="2:6" x14ac:dyDescent="0.25">
      <c r="F48" s="25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FF52-5988-4C72-9C49-0BCD245B7714}">
  <dimension ref="B5:I50"/>
  <sheetViews>
    <sheetView topLeftCell="A3" workbookViewId="0">
      <selection activeCell="B10" sqref="B10:F10"/>
    </sheetView>
  </sheetViews>
  <sheetFormatPr baseColWidth="10" defaultColWidth="11.44140625" defaultRowHeight="15" x14ac:dyDescent="0.25"/>
  <cols>
    <col min="1" max="1" width="2.5546875" style="4" customWidth="1"/>
    <col min="2" max="2" width="33" style="4" bestFit="1" customWidth="1"/>
    <col min="3" max="3" width="15.33203125" style="4" customWidth="1"/>
    <col min="4" max="4" width="14.6640625" style="4" customWidth="1"/>
    <col min="5" max="5" width="11.44140625" style="4"/>
    <col min="6" max="6" width="16" style="4" bestFit="1" customWidth="1"/>
    <col min="7" max="16384" width="11.44140625" style="4"/>
  </cols>
  <sheetData>
    <row r="5" spans="2:9" ht="15.6" x14ac:dyDescent="0.3">
      <c r="B5" s="585" t="s">
        <v>379</v>
      </c>
      <c r="C5" s="585"/>
      <c r="D5" s="585"/>
      <c r="E5" s="585"/>
      <c r="F5" s="585"/>
    </row>
    <row r="6" spans="2:9" ht="15.6" x14ac:dyDescent="0.3">
      <c r="B6" s="585" t="s">
        <v>255</v>
      </c>
      <c r="C6" s="585"/>
      <c r="D6" s="585"/>
      <c r="E6" s="585"/>
      <c r="F6" s="585"/>
    </row>
    <row r="7" spans="2:9" ht="15.6" x14ac:dyDescent="0.3">
      <c r="B7" s="585" t="s">
        <v>467</v>
      </c>
      <c r="C7" s="585"/>
      <c r="D7" s="585"/>
      <c r="E7" s="585"/>
      <c r="F7" s="585"/>
    </row>
    <row r="8" spans="2:9" ht="15.6" x14ac:dyDescent="0.3">
      <c r="B8" s="609">
        <v>45838</v>
      </c>
      <c r="C8" s="609"/>
      <c r="D8" s="609"/>
      <c r="E8" s="609"/>
      <c r="F8" s="609"/>
    </row>
    <row r="10" spans="2:9" x14ac:dyDescent="0.25">
      <c r="B10" s="578" t="s">
        <v>738</v>
      </c>
      <c r="C10" s="578"/>
      <c r="D10" s="578"/>
      <c r="E10" s="578"/>
      <c r="F10" s="578"/>
    </row>
    <row r="11" spans="2:9" ht="15.6" x14ac:dyDescent="0.3">
      <c r="B11" s="578" t="s">
        <v>900</v>
      </c>
      <c r="C11" s="578"/>
      <c r="D11" s="578"/>
      <c r="E11" s="578"/>
      <c r="F11" s="578"/>
    </row>
    <row r="12" spans="2:9" ht="15.6" x14ac:dyDescent="0.3">
      <c r="B12" s="585" t="s">
        <v>739</v>
      </c>
      <c r="C12" s="585"/>
      <c r="D12" s="585"/>
      <c r="E12" s="585"/>
      <c r="F12" s="585"/>
      <c r="I12" s="345"/>
    </row>
    <row r="13" spans="2:9" ht="15.6" thickBot="1" x14ac:dyDescent="0.3">
      <c r="I13" s="18"/>
    </row>
    <row r="14" spans="2:9" ht="16.2" thickBot="1" x14ac:dyDescent="0.35">
      <c r="B14" s="306" t="s">
        <v>337</v>
      </c>
      <c r="C14" s="307" t="s">
        <v>436</v>
      </c>
      <c r="D14" s="307" t="s">
        <v>433</v>
      </c>
      <c r="E14" s="307"/>
      <c r="F14" s="308" t="s">
        <v>396</v>
      </c>
      <c r="I14" s="18"/>
    </row>
    <row r="15" spans="2:9" ht="16.8" x14ac:dyDescent="0.4">
      <c r="B15" s="309" t="s">
        <v>740</v>
      </c>
      <c r="C15" s="346" t="s">
        <v>742</v>
      </c>
      <c r="D15" s="311" t="s">
        <v>435</v>
      </c>
      <c r="E15" s="310"/>
      <c r="F15" s="312">
        <v>273814.42</v>
      </c>
    </row>
    <row r="16" spans="2:9" ht="18" thickBot="1" x14ac:dyDescent="0.5">
      <c r="B16" s="313" t="s">
        <v>330</v>
      </c>
      <c r="C16" s="314"/>
      <c r="D16" s="314"/>
      <c r="E16" s="314"/>
      <c r="F16" s="315">
        <f>SUM(F15:F15)</f>
        <v>273814.42</v>
      </c>
    </row>
    <row r="17" spans="2:6" ht="15.6" thickBot="1" x14ac:dyDescent="0.3"/>
    <row r="18" spans="2:6" ht="16.2" thickBot="1" x14ac:dyDescent="0.35">
      <c r="B18" s="306" t="s">
        <v>335</v>
      </c>
      <c r="C18" s="307" t="s">
        <v>436</v>
      </c>
      <c r="D18" s="307" t="s">
        <v>759</v>
      </c>
      <c r="E18" s="307" t="s">
        <v>437</v>
      </c>
      <c r="F18" s="308" t="s">
        <v>336</v>
      </c>
    </row>
    <row r="19" spans="2:6" x14ac:dyDescent="0.25">
      <c r="B19" s="316" t="s">
        <v>741</v>
      </c>
      <c r="C19" s="347" t="s">
        <v>468</v>
      </c>
      <c r="D19" s="311">
        <v>40027</v>
      </c>
      <c r="E19" s="348" t="s">
        <v>758</v>
      </c>
      <c r="F19" s="318">
        <f>+F16</f>
        <v>273814.42</v>
      </c>
    </row>
    <row r="21" spans="2:6" x14ac:dyDescent="0.25">
      <c r="B21" s="299" t="s">
        <v>412</v>
      </c>
      <c r="C21" s="299"/>
      <c r="D21" s="299"/>
      <c r="E21" s="299"/>
      <c r="F21" s="300">
        <f>+F19/12</f>
        <v>22817.868333333332</v>
      </c>
    </row>
    <row r="22" spans="2:6" x14ac:dyDescent="0.25">
      <c r="F22" s="36"/>
    </row>
    <row r="23" spans="2:6" x14ac:dyDescent="0.25">
      <c r="B23" s="5" t="s">
        <v>743</v>
      </c>
      <c r="C23" s="5" t="s">
        <v>744</v>
      </c>
      <c r="D23" s="36">
        <f>+F21</f>
        <v>22817.868333333332</v>
      </c>
      <c r="E23" s="64" t="s">
        <v>439</v>
      </c>
      <c r="F23" s="36">
        <f>+F21*10</f>
        <v>228178.68333333332</v>
      </c>
    </row>
    <row r="24" spans="2:6" x14ac:dyDescent="0.25">
      <c r="B24" s="5"/>
      <c r="C24" s="5"/>
      <c r="D24" s="36"/>
      <c r="E24" s="5"/>
      <c r="F24" s="36"/>
    </row>
    <row r="25" spans="2:6" x14ac:dyDescent="0.25">
      <c r="B25" s="5" t="s">
        <v>745</v>
      </c>
      <c r="C25" s="5" t="s">
        <v>440</v>
      </c>
      <c r="D25" s="36">
        <f>+F21</f>
        <v>22817.868333333332</v>
      </c>
      <c r="E25" s="64" t="s">
        <v>441</v>
      </c>
      <c r="F25" s="36">
        <f>+F19-F23</f>
        <v>45635.736666666664</v>
      </c>
    </row>
    <row r="26" spans="2:6" x14ac:dyDescent="0.25">
      <c r="C26" s="5"/>
      <c r="D26" s="36"/>
    </row>
    <row r="27" spans="2:6" x14ac:dyDescent="0.25">
      <c r="C27" s="5"/>
      <c r="D27" s="36"/>
    </row>
    <row r="28" spans="2:6" x14ac:dyDescent="0.25">
      <c r="C28" s="5"/>
      <c r="D28" s="36"/>
    </row>
    <row r="29" spans="2:6" x14ac:dyDescent="0.25">
      <c r="C29" s="30"/>
      <c r="D29" s="30"/>
      <c r="E29" s="30"/>
      <c r="F29" s="36"/>
    </row>
    <row r="30" spans="2:6" x14ac:dyDescent="0.25">
      <c r="B30" s="4" t="s">
        <v>746</v>
      </c>
      <c r="C30" s="37"/>
      <c r="D30" s="37"/>
      <c r="E30" s="37"/>
      <c r="F30" s="36">
        <f>+F21+0.01</f>
        <v>22817.87833333333</v>
      </c>
    </row>
    <row r="31" spans="2:6" x14ac:dyDescent="0.25">
      <c r="B31" s="4" t="s">
        <v>747</v>
      </c>
      <c r="C31" s="37"/>
      <c r="D31" s="37"/>
      <c r="E31" s="37"/>
      <c r="F31" s="36">
        <v>22817.87833333333</v>
      </c>
    </row>
    <row r="32" spans="2:6" x14ac:dyDescent="0.25">
      <c r="B32" s="30" t="s">
        <v>748</v>
      </c>
      <c r="C32" s="37"/>
      <c r="D32" s="37"/>
      <c r="E32" s="37"/>
      <c r="F32" s="36">
        <v>22817.87833333333</v>
      </c>
    </row>
    <row r="33" spans="2:6" ht="16.8" x14ac:dyDescent="0.4">
      <c r="B33" s="303" t="s">
        <v>749</v>
      </c>
      <c r="C33" s="37"/>
      <c r="D33" s="37"/>
      <c r="E33" s="37"/>
      <c r="F33" s="324">
        <v>22817.87833333333</v>
      </c>
    </row>
    <row r="34" spans="2:6" hidden="1" x14ac:dyDescent="0.25">
      <c r="B34" s="30" t="s">
        <v>750</v>
      </c>
      <c r="C34" s="30"/>
      <c r="D34" s="30"/>
      <c r="E34" s="30"/>
      <c r="F34" s="36"/>
    </row>
    <row r="35" spans="2:6" hidden="1" x14ac:dyDescent="0.25">
      <c r="B35" s="30" t="s">
        <v>751</v>
      </c>
      <c r="C35" s="30"/>
      <c r="D35" s="30"/>
      <c r="E35" s="30"/>
      <c r="F35" s="36"/>
    </row>
    <row r="36" spans="2:6" hidden="1" x14ac:dyDescent="0.25">
      <c r="B36" s="30" t="s">
        <v>752</v>
      </c>
      <c r="C36" s="30"/>
      <c r="D36" s="30"/>
      <c r="E36" s="30"/>
      <c r="F36" s="36"/>
    </row>
    <row r="37" spans="2:6" hidden="1" x14ac:dyDescent="0.25">
      <c r="B37" s="30" t="s">
        <v>753</v>
      </c>
      <c r="C37" s="30"/>
      <c r="D37" s="30"/>
      <c r="E37" s="30"/>
      <c r="F37" s="36"/>
    </row>
    <row r="38" spans="2:6" hidden="1" x14ac:dyDescent="0.25">
      <c r="B38" s="30" t="s">
        <v>754</v>
      </c>
      <c r="C38" s="30"/>
      <c r="D38" s="30"/>
      <c r="E38" s="30"/>
      <c r="F38" s="36"/>
    </row>
    <row r="39" spans="2:6" hidden="1" x14ac:dyDescent="0.25">
      <c r="B39" s="30" t="s">
        <v>755</v>
      </c>
      <c r="F39" s="36"/>
    </row>
    <row r="40" spans="2:6" hidden="1" x14ac:dyDescent="0.25">
      <c r="B40" s="4" t="s">
        <v>756</v>
      </c>
      <c r="C40" s="30"/>
      <c r="D40" s="30"/>
      <c r="E40" s="30"/>
      <c r="F40" s="36"/>
    </row>
    <row r="41" spans="2:6" ht="16.8" hidden="1" x14ac:dyDescent="0.4">
      <c r="B41" s="4" t="s">
        <v>757</v>
      </c>
      <c r="C41" s="30"/>
      <c r="D41" s="30"/>
      <c r="E41" s="30"/>
      <c r="F41" s="191"/>
    </row>
    <row r="42" spans="2:6" ht="24" customHeight="1" x14ac:dyDescent="0.3">
      <c r="B42" s="240" t="s">
        <v>118</v>
      </c>
      <c r="C42" s="30"/>
      <c r="D42" s="30"/>
      <c r="E42" s="30"/>
      <c r="F42" s="340">
        <f>SUM(F29:F41)-0</f>
        <v>91271.513333333321</v>
      </c>
    </row>
    <row r="43" spans="2:6" ht="29.25" customHeight="1" thickBot="1" x14ac:dyDescent="0.35">
      <c r="B43" s="47" t="s">
        <v>469</v>
      </c>
      <c r="F43" s="344">
        <f>+F16-F42</f>
        <v>182542.90666666668</v>
      </c>
    </row>
    <row r="44" spans="2:6" ht="15.6" thickTop="1" x14ac:dyDescent="0.25"/>
    <row r="47" spans="2:6" x14ac:dyDescent="0.25">
      <c r="F47" s="25"/>
    </row>
    <row r="48" spans="2:6" x14ac:dyDescent="0.25">
      <c r="F48" s="25"/>
    </row>
    <row r="49" spans="6:6" x14ac:dyDescent="0.25">
      <c r="F49" s="25"/>
    </row>
    <row r="50" spans="6:6" x14ac:dyDescent="0.25">
      <c r="F50" s="25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51181102362204722" right="0.51181102362204722" top="0.74803149606299213" bottom="0.74803149606299213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3:O13"/>
  <sheetViews>
    <sheetView workbookViewId="0">
      <selection activeCell="B10" sqref="B10:F10"/>
    </sheetView>
  </sheetViews>
  <sheetFormatPr baseColWidth="10" defaultColWidth="11.5546875" defaultRowHeight="24.75" customHeight="1" x14ac:dyDescent="0.25"/>
  <cols>
    <col min="1" max="1" width="42.5546875" style="4" customWidth="1"/>
    <col min="2" max="2" width="21.6640625" style="4" customWidth="1"/>
    <col min="3" max="4" width="11.5546875" style="4"/>
    <col min="5" max="5" width="19.109375" style="4" customWidth="1"/>
    <col min="6" max="14" width="11.5546875" style="4"/>
    <col min="15" max="15" width="16.88671875" style="4" bestFit="1" customWidth="1"/>
    <col min="16" max="16384" width="11.5546875" style="4"/>
  </cols>
  <sheetData>
    <row r="3" spans="1:15" ht="24.75" customHeight="1" x14ac:dyDescent="0.3">
      <c r="A3" s="585" t="s">
        <v>470</v>
      </c>
      <c r="B3" s="585"/>
    </row>
    <row r="4" spans="1:15" ht="24.75" customHeight="1" x14ac:dyDescent="0.3">
      <c r="A4" s="585" t="s">
        <v>255</v>
      </c>
      <c r="B4" s="585"/>
    </row>
    <row r="5" spans="1:15" ht="24.75" customHeight="1" x14ac:dyDescent="0.3">
      <c r="A5" s="585" t="s">
        <v>471</v>
      </c>
      <c r="B5" s="585"/>
    </row>
    <row r="6" spans="1:15" ht="24.75" customHeight="1" x14ac:dyDescent="0.3">
      <c r="A6" s="595">
        <v>45838</v>
      </c>
      <c r="B6" s="595"/>
    </row>
    <row r="7" spans="1:15" ht="24.75" customHeight="1" thickBot="1" x14ac:dyDescent="0.35">
      <c r="A7" s="138"/>
      <c r="B7" s="138"/>
    </row>
    <row r="8" spans="1:15" ht="24.75" customHeight="1" thickBot="1" x14ac:dyDescent="0.35">
      <c r="A8" s="141" t="s">
        <v>472</v>
      </c>
      <c r="B8" s="143" t="s">
        <v>258</v>
      </c>
    </row>
    <row r="9" spans="1:15" ht="24.75" customHeight="1" x14ac:dyDescent="0.25">
      <c r="A9" s="145" t="s">
        <v>473</v>
      </c>
      <c r="B9" s="349">
        <v>0</v>
      </c>
    </row>
    <row r="10" spans="1:15" ht="24.75" customHeight="1" x14ac:dyDescent="0.25">
      <c r="A10" s="149" t="s">
        <v>719</v>
      </c>
      <c r="B10" s="349">
        <v>0</v>
      </c>
    </row>
    <row r="11" spans="1:15" ht="24.75" customHeight="1" x14ac:dyDescent="0.4">
      <c r="A11" s="149" t="s">
        <v>474</v>
      </c>
      <c r="B11" s="350">
        <v>0</v>
      </c>
      <c r="O11" s="36"/>
    </row>
    <row r="12" spans="1:15" ht="24.75" customHeight="1" x14ac:dyDescent="0.45">
      <c r="A12" s="149"/>
      <c r="B12" s="351">
        <f>SUM(B9:B11)</f>
        <v>0</v>
      </c>
    </row>
    <row r="13" spans="1:15" ht="24.75" customHeight="1" thickBot="1" x14ac:dyDescent="0.3">
      <c r="A13" s="161"/>
      <c r="B13" s="352"/>
    </row>
  </sheetData>
  <mergeCells count="4">
    <mergeCell ref="A4:B4"/>
    <mergeCell ref="A3:B3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E765-175B-49EE-B8AA-77A40EDFAE4C}">
  <sheetPr>
    <pageSetUpPr fitToPage="1"/>
  </sheetPr>
  <dimension ref="B8:K67"/>
  <sheetViews>
    <sheetView zoomScaleNormal="100" workbookViewId="0">
      <selection activeCell="B10" sqref="B10:F10"/>
    </sheetView>
  </sheetViews>
  <sheetFormatPr baseColWidth="10" defaultColWidth="11.44140625" defaultRowHeight="15" x14ac:dyDescent="0.25"/>
  <cols>
    <col min="1" max="1" width="11.44140625" style="4"/>
    <col min="2" max="2" width="42.109375" style="4" customWidth="1"/>
    <col min="3" max="3" width="24.44140625" style="4" bestFit="1" customWidth="1"/>
    <col min="4" max="4" width="11.44140625" style="4"/>
    <col min="5" max="5" width="10.88671875" style="4" customWidth="1"/>
    <col min="6" max="6" width="16" style="4" customWidth="1"/>
    <col min="7" max="7" width="14.44140625" style="4" customWidth="1"/>
    <col min="8" max="8" width="21.109375" style="4" bestFit="1" customWidth="1"/>
    <col min="9" max="16384" width="11.44140625" style="4"/>
  </cols>
  <sheetData>
    <row r="8" spans="2:11" ht="20.25" customHeight="1" x14ac:dyDescent="0.3">
      <c r="B8" s="585" t="s">
        <v>475</v>
      </c>
      <c r="C8" s="585"/>
    </row>
    <row r="9" spans="2:11" ht="20.25" customHeight="1" x14ac:dyDescent="0.3">
      <c r="B9" s="585" t="s">
        <v>255</v>
      </c>
      <c r="C9" s="585"/>
    </row>
    <row r="10" spans="2:11" ht="20.25" customHeight="1" x14ac:dyDescent="0.3">
      <c r="B10" s="585" t="s">
        <v>476</v>
      </c>
      <c r="C10" s="585"/>
    </row>
    <row r="11" spans="2:11" ht="20.25" customHeight="1" x14ac:dyDescent="0.3">
      <c r="B11" s="595">
        <v>45838</v>
      </c>
      <c r="C11" s="595"/>
      <c r="F11" s="585" t="s">
        <v>477</v>
      </c>
      <c r="G11" s="585"/>
      <c r="H11" s="585"/>
      <c r="I11" s="47"/>
      <c r="K11" s="369" t="s">
        <v>712</v>
      </c>
    </row>
    <row r="12" spans="2:11" ht="15.6" thickBot="1" x14ac:dyDescent="0.3"/>
    <row r="13" spans="2:11" ht="29.25" customHeight="1" thickBot="1" x14ac:dyDescent="0.35">
      <c r="B13" s="141" t="s">
        <v>241</v>
      </c>
      <c r="C13" s="143" t="s">
        <v>258</v>
      </c>
      <c r="E13" s="355"/>
      <c r="F13" s="356" t="s">
        <v>478</v>
      </c>
      <c r="G13" s="357" t="s">
        <v>333</v>
      </c>
      <c r="H13" s="358" t="s">
        <v>479</v>
      </c>
    </row>
    <row r="14" spans="2:11" ht="24.75" customHeight="1" x14ac:dyDescent="0.3">
      <c r="B14" s="229" t="s">
        <v>108</v>
      </c>
      <c r="C14" s="208">
        <f>+H19+H34</f>
        <v>431156800</v>
      </c>
      <c r="F14" s="614" t="s">
        <v>480</v>
      </c>
      <c r="G14" s="615"/>
      <c r="H14" s="359"/>
    </row>
    <row r="15" spans="2:11" ht="27" customHeight="1" x14ac:dyDescent="0.25">
      <c r="B15" s="229" t="s">
        <v>109</v>
      </c>
      <c r="C15" s="208">
        <f>+H41</f>
        <v>396750000</v>
      </c>
      <c r="F15" s="360">
        <v>39310</v>
      </c>
      <c r="G15" s="361">
        <v>45183</v>
      </c>
      <c r="H15" s="362">
        <v>70000000</v>
      </c>
    </row>
    <row r="16" spans="2:11" ht="29.25" customHeight="1" x14ac:dyDescent="0.25">
      <c r="B16" s="229" t="s">
        <v>110</v>
      </c>
      <c r="C16" s="208">
        <f>+H54</f>
        <v>1266750000</v>
      </c>
      <c r="F16" s="363">
        <v>39363</v>
      </c>
      <c r="G16" s="364">
        <v>45216</v>
      </c>
      <c r="H16" s="365">
        <v>20000000</v>
      </c>
    </row>
    <row r="17" spans="2:8" ht="23.25" customHeight="1" x14ac:dyDescent="0.25">
      <c r="B17" s="229" t="s">
        <v>252</v>
      </c>
      <c r="C17" s="208">
        <f>+H57</f>
        <v>100000000</v>
      </c>
      <c r="F17" s="363">
        <v>39410</v>
      </c>
      <c r="G17" s="364">
        <v>45239</v>
      </c>
      <c r="H17" s="365">
        <v>40000000</v>
      </c>
    </row>
    <row r="18" spans="2:8" ht="23.25" customHeight="1" x14ac:dyDescent="0.4">
      <c r="B18" s="229" t="s">
        <v>830</v>
      </c>
      <c r="C18" s="353">
        <v>84100000</v>
      </c>
      <c r="F18" s="363">
        <v>39476</v>
      </c>
      <c r="G18" s="364">
        <v>45278</v>
      </c>
      <c r="H18" s="366">
        <v>21156800</v>
      </c>
    </row>
    <row r="19" spans="2:8" ht="27" customHeight="1" x14ac:dyDescent="0.45">
      <c r="B19" s="354" t="s">
        <v>481</v>
      </c>
      <c r="C19" s="179">
        <f>SUM(C14:C18)</f>
        <v>2278756800</v>
      </c>
      <c r="F19" s="363"/>
      <c r="G19" s="363"/>
      <c r="H19" s="367">
        <v>151156800</v>
      </c>
    </row>
    <row r="20" spans="2:8" ht="22.5" customHeight="1" x14ac:dyDescent="0.25">
      <c r="B20" s="218"/>
      <c r="C20" s="218"/>
      <c r="F20" s="363"/>
      <c r="G20" s="363"/>
      <c r="H20" s="368"/>
    </row>
    <row r="21" spans="2:8" x14ac:dyDescent="0.25">
      <c r="F21" s="363">
        <v>39477</v>
      </c>
      <c r="G21" s="364">
        <v>45279</v>
      </c>
      <c r="H21" s="365">
        <v>40000000</v>
      </c>
    </row>
    <row r="22" spans="2:8" x14ac:dyDescent="0.25">
      <c r="F22" s="363">
        <v>39515</v>
      </c>
      <c r="G22" s="364">
        <v>45303</v>
      </c>
      <c r="H22" s="365">
        <v>20000000</v>
      </c>
    </row>
    <row r="23" spans="2:8" x14ac:dyDescent="0.25">
      <c r="F23" s="363">
        <v>39567</v>
      </c>
      <c r="G23" s="364">
        <v>45335</v>
      </c>
      <c r="H23" s="365">
        <v>20000000</v>
      </c>
    </row>
    <row r="24" spans="2:8" x14ac:dyDescent="0.25">
      <c r="F24" s="363">
        <v>39616</v>
      </c>
      <c r="G24" s="364">
        <v>45365</v>
      </c>
      <c r="H24" s="365">
        <v>20000000</v>
      </c>
    </row>
    <row r="25" spans="2:8" x14ac:dyDescent="0.25">
      <c r="F25" s="363">
        <v>39651</v>
      </c>
      <c r="G25" s="364">
        <v>45386</v>
      </c>
      <c r="H25" s="365">
        <v>20000000</v>
      </c>
    </row>
    <row r="26" spans="2:8" x14ac:dyDescent="0.25">
      <c r="F26" s="363">
        <v>39713</v>
      </c>
      <c r="G26" s="364">
        <v>45422</v>
      </c>
      <c r="H26" s="365">
        <v>20000000</v>
      </c>
    </row>
    <row r="27" spans="2:8" x14ac:dyDescent="0.25">
      <c r="F27" s="363">
        <v>39749</v>
      </c>
      <c r="G27" s="364">
        <v>45460</v>
      </c>
      <c r="H27" s="365">
        <v>20000000</v>
      </c>
    </row>
    <row r="28" spans="2:8" x14ac:dyDescent="0.25">
      <c r="F28" s="363">
        <v>39848</v>
      </c>
      <c r="G28" s="364">
        <v>45561</v>
      </c>
      <c r="H28" s="365">
        <v>24000000</v>
      </c>
    </row>
    <row r="29" spans="2:8" x14ac:dyDescent="0.25">
      <c r="F29" s="363">
        <v>39885</v>
      </c>
      <c r="G29" s="364">
        <v>45576</v>
      </c>
      <c r="H29" s="365">
        <v>8000000</v>
      </c>
    </row>
    <row r="30" spans="2:8" x14ac:dyDescent="0.25">
      <c r="F30" s="363">
        <v>39926</v>
      </c>
      <c r="G30" s="364">
        <v>45608</v>
      </c>
      <c r="H30" s="365">
        <v>8000000</v>
      </c>
    </row>
    <row r="31" spans="2:8" x14ac:dyDescent="0.25">
      <c r="F31" s="363">
        <v>39936</v>
      </c>
      <c r="G31" s="364">
        <v>45623</v>
      </c>
      <c r="H31" s="365">
        <v>12000000</v>
      </c>
    </row>
    <row r="32" spans="2:8" x14ac:dyDescent="0.25">
      <c r="F32" s="363">
        <v>39941</v>
      </c>
      <c r="G32" s="364">
        <v>45623</v>
      </c>
      <c r="H32" s="365">
        <v>20000000</v>
      </c>
    </row>
    <row r="33" spans="6:8" x14ac:dyDescent="0.25">
      <c r="F33" s="363" t="s">
        <v>818</v>
      </c>
      <c r="G33" s="364">
        <v>45757</v>
      </c>
      <c r="H33" s="366">
        <v>48000000</v>
      </c>
    </row>
    <row r="34" spans="6:8" ht="15.6" x14ac:dyDescent="0.3">
      <c r="F34" s="363"/>
      <c r="G34" s="364"/>
      <c r="H34" s="370">
        <f>SUM(H21:H33)</f>
        <v>280000000</v>
      </c>
    </row>
    <row r="35" spans="6:8" ht="15.6" x14ac:dyDescent="0.3">
      <c r="F35" s="371"/>
      <c r="G35" s="372"/>
      <c r="H35" s="370"/>
    </row>
    <row r="36" spans="6:8" ht="15.6" x14ac:dyDescent="0.3">
      <c r="F36" s="612" t="s">
        <v>482</v>
      </c>
      <c r="G36" s="613"/>
      <c r="H36" s="370">
        <f>+H19+H34</f>
        <v>431156800</v>
      </c>
    </row>
    <row r="37" spans="6:8" ht="15.6" x14ac:dyDescent="0.3">
      <c r="F37" s="371"/>
      <c r="G37" s="372"/>
      <c r="H37" s="370"/>
    </row>
    <row r="38" spans="6:8" ht="15.6" x14ac:dyDescent="0.25">
      <c r="F38" s="612" t="s">
        <v>109</v>
      </c>
      <c r="G38" s="613"/>
      <c r="H38" s="366"/>
    </row>
    <row r="39" spans="6:8" ht="15.6" x14ac:dyDescent="0.3">
      <c r="F39" s="363" t="s">
        <v>483</v>
      </c>
      <c r="G39" s="364">
        <v>45426</v>
      </c>
      <c r="H39" s="375">
        <v>296750000</v>
      </c>
    </row>
    <row r="40" spans="6:8" ht="15.6" x14ac:dyDescent="0.3">
      <c r="F40" s="363" t="s">
        <v>820</v>
      </c>
      <c r="G40" s="364">
        <v>45777</v>
      </c>
      <c r="H40" s="370">
        <v>100000000</v>
      </c>
    </row>
    <row r="41" spans="6:8" ht="15.6" x14ac:dyDescent="0.3">
      <c r="F41" s="612" t="s">
        <v>821</v>
      </c>
      <c r="G41" s="613"/>
      <c r="H41" s="370">
        <f>SUM(H39:H40)</f>
        <v>396750000</v>
      </c>
    </row>
    <row r="42" spans="6:8" ht="15.6" x14ac:dyDescent="0.3">
      <c r="F42" s="363"/>
      <c r="G42" s="363"/>
      <c r="H42" s="370"/>
    </row>
    <row r="43" spans="6:8" ht="15.6" x14ac:dyDescent="0.25">
      <c r="F43" s="612" t="s">
        <v>110</v>
      </c>
      <c r="G43" s="613"/>
      <c r="H43" s="366"/>
    </row>
    <row r="44" spans="6:8" ht="15.6" x14ac:dyDescent="0.3">
      <c r="F44" s="363" t="s">
        <v>484</v>
      </c>
      <c r="G44" s="364">
        <v>45426</v>
      </c>
      <c r="H44" s="375">
        <v>296750000</v>
      </c>
    </row>
    <row r="45" spans="6:8" ht="15.6" x14ac:dyDescent="0.3">
      <c r="F45" s="363">
        <v>39804</v>
      </c>
      <c r="G45" s="364">
        <v>45490</v>
      </c>
      <c r="H45" s="375">
        <v>110000000</v>
      </c>
    </row>
    <row r="46" spans="6:8" ht="15.6" x14ac:dyDescent="0.3">
      <c r="F46" s="363">
        <v>39831</v>
      </c>
      <c r="G46" s="364">
        <v>45512</v>
      </c>
      <c r="H46" s="375">
        <v>110000000</v>
      </c>
    </row>
    <row r="47" spans="6:8" ht="15.6" x14ac:dyDescent="0.3">
      <c r="F47" s="363">
        <v>39831</v>
      </c>
      <c r="G47" s="364">
        <v>45516</v>
      </c>
      <c r="H47" s="375">
        <v>110000000</v>
      </c>
    </row>
    <row r="48" spans="6:8" ht="15.6" x14ac:dyDescent="0.3">
      <c r="F48" s="376">
        <v>39851</v>
      </c>
      <c r="G48" s="372">
        <v>45545</v>
      </c>
      <c r="H48" s="375">
        <v>110000000</v>
      </c>
    </row>
    <row r="49" spans="6:8" ht="15.6" x14ac:dyDescent="0.3">
      <c r="F49" s="363">
        <v>39889</v>
      </c>
      <c r="G49" s="364">
        <v>45576</v>
      </c>
      <c r="H49" s="375">
        <v>110000000</v>
      </c>
    </row>
    <row r="50" spans="6:8" ht="15.6" x14ac:dyDescent="0.3">
      <c r="F50" s="376">
        <v>39922</v>
      </c>
      <c r="G50" s="372">
        <v>45614</v>
      </c>
      <c r="H50" s="375">
        <v>110000000</v>
      </c>
    </row>
    <row r="51" spans="6:8" ht="15.6" x14ac:dyDescent="0.3">
      <c r="F51" s="376">
        <v>39945</v>
      </c>
      <c r="G51" s="372">
        <v>45630</v>
      </c>
      <c r="H51" s="375">
        <v>110000000</v>
      </c>
    </row>
    <row r="52" spans="6:8" ht="15.6" x14ac:dyDescent="0.3">
      <c r="F52" s="376">
        <v>40068</v>
      </c>
      <c r="G52" s="372">
        <v>45791</v>
      </c>
      <c r="H52" s="375">
        <v>100000000</v>
      </c>
    </row>
    <row r="53" spans="6:8" ht="15.6" x14ac:dyDescent="0.3">
      <c r="F53" s="377">
        <v>40068</v>
      </c>
      <c r="G53" s="378">
        <v>45791</v>
      </c>
      <c r="H53" s="370">
        <v>100000000</v>
      </c>
    </row>
    <row r="54" spans="6:8" ht="15.6" x14ac:dyDescent="0.3">
      <c r="F54" s="612" t="s">
        <v>485</v>
      </c>
      <c r="G54" s="613"/>
      <c r="H54" s="370">
        <f>SUM(H44:H53)</f>
        <v>1266750000</v>
      </c>
    </row>
    <row r="55" spans="6:8" ht="15.6" x14ac:dyDescent="0.3">
      <c r="F55" s="373"/>
      <c r="G55" s="374"/>
      <c r="H55" s="370"/>
    </row>
    <row r="56" spans="6:8" ht="15.6" x14ac:dyDescent="0.25">
      <c r="F56" s="612" t="s">
        <v>252</v>
      </c>
      <c r="G56" s="613"/>
      <c r="H56" s="366"/>
    </row>
    <row r="57" spans="6:8" ht="15.6" x14ac:dyDescent="0.3">
      <c r="F57" s="363" t="s">
        <v>819</v>
      </c>
      <c r="G57" s="364">
        <v>45777</v>
      </c>
      <c r="H57" s="370">
        <v>100000000</v>
      </c>
    </row>
    <row r="58" spans="6:8" ht="15.6" x14ac:dyDescent="0.3">
      <c r="F58" s="371"/>
      <c r="G58" s="372"/>
      <c r="H58" s="370"/>
    </row>
    <row r="59" spans="6:8" ht="15.6" x14ac:dyDescent="0.25">
      <c r="F59" s="612" t="s">
        <v>830</v>
      </c>
      <c r="G59" s="613"/>
      <c r="H59" s="366"/>
    </row>
    <row r="60" spans="6:8" ht="15.6" x14ac:dyDescent="0.3">
      <c r="F60" s="379" t="s">
        <v>831</v>
      </c>
      <c r="G60" s="380">
        <v>45786</v>
      </c>
      <c r="H60" s="370">
        <v>84100000</v>
      </c>
    </row>
    <row r="61" spans="6:8" ht="15.6" x14ac:dyDescent="0.3">
      <c r="F61" s="373"/>
      <c r="G61" s="374"/>
      <c r="H61" s="370"/>
    </row>
    <row r="62" spans="6:8" x14ac:dyDescent="0.25">
      <c r="F62" s="368"/>
      <c r="G62" s="363"/>
      <c r="H62" s="368"/>
    </row>
    <row r="63" spans="6:8" ht="21.75" customHeight="1" x14ac:dyDescent="0.3">
      <c r="F63" s="47" t="s">
        <v>486</v>
      </c>
      <c r="G63" s="47"/>
      <c r="H63" s="381">
        <f>+H57+H54+H41+H36+H60</f>
        <v>2278756800</v>
      </c>
    </row>
    <row r="65" spans="8:8" x14ac:dyDescent="0.25">
      <c r="H65" s="32"/>
    </row>
    <row r="66" spans="8:8" x14ac:dyDescent="0.25">
      <c r="H66" s="32"/>
    </row>
    <row r="67" spans="8:8" x14ac:dyDescent="0.25">
      <c r="H67" s="32"/>
    </row>
  </sheetData>
  <mergeCells count="13">
    <mergeCell ref="F36:G36"/>
    <mergeCell ref="F14:G14"/>
    <mergeCell ref="B8:C8"/>
    <mergeCell ref="B10:C10"/>
    <mergeCell ref="B11:C11"/>
    <mergeCell ref="B9:C9"/>
    <mergeCell ref="F11:H11"/>
    <mergeCell ref="F59:G59"/>
    <mergeCell ref="F56:G56"/>
    <mergeCell ref="F41:G41"/>
    <mergeCell ref="F54:G54"/>
    <mergeCell ref="F38:G38"/>
    <mergeCell ref="F43:G43"/>
  </mergeCells>
  <pageMargins left="0.31496062992125984" right="0.31496062992125984" top="0.74803149606299213" bottom="0.74803149606299213" header="0.31496062992125984" footer="0.31496062992125984"/>
  <pageSetup scale="92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4D21-3DBC-44D8-BAA4-C261AEC889CD}">
  <dimension ref="A1:F51"/>
  <sheetViews>
    <sheetView workbookViewId="0">
      <selection activeCell="A39" sqref="A39"/>
    </sheetView>
  </sheetViews>
  <sheetFormatPr baseColWidth="10" defaultColWidth="11.44140625" defaultRowHeight="15" x14ac:dyDescent="0.25"/>
  <cols>
    <col min="1" max="1" width="59.33203125" style="4" bestFit="1" customWidth="1"/>
    <col min="2" max="2" width="12.6640625" style="4" bestFit="1" customWidth="1"/>
    <col min="3" max="3" width="11.44140625" style="4" bestFit="1" customWidth="1"/>
    <col min="4" max="4" width="20.33203125" style="4" bestFit="1" customWidth="1"/>
    <col min="5" max="5" width="18.6640625" style="4" bestFit="1" customWidth="1"/>
    <col min="6" max="16384" width="11.44140625" style="4"/>
  </cols>
  <sheetData>
    <row r="1" spans="1:6" ht="15.6" x14ac:dyDescent="0.3">
      <c r="A1" s="382" t="s">
        <v>487</v>
      </c>
      <c r="B1" s="382"/>
      <c r="C1" s="383"/>
      <c r="E1" s="383" t="s">
        <v>488</v>
      </c>
      <c r="F1" s="384"/>
    </row>
    <row r="3" spans="1:6" x14ac:dyDescent="0.25">
      <c r="A3" s="383" t="s">
        <v>489</v>
      </c>
      <c r="B3" s="383"/>
      <c r="C3" s="385">
        <v>45200</v>
      </c>
      <c r="D3" s="383" t="s">
        <v>490</v>
      </c>
      <c r="E3" s="385">
        <v>45488</v>
      </c>
    </row>
    <row r="4" spans="1:6" x14ac:dyDescent="0.25">
      <c r="A4" s="383" t="s">
        <v>283</v>
      </c>
      <c r="B4" s="383"/>
      <c r="C4" s="383">
        <v>0</v>
      </c>
      <c r="D4" s="383" t="s">
        <v>491</v>
      </c>
      <c r="E4" s="383">
        <v>0</v>
      </c>
    </row>
    <row r="5" spans="1:6" ht="15.6" x14ac:dyDescent="0.3">
      <c r="A5" s="382" t="s">
        <v>492</v>
      </c>
      <c r="B5" s="383"/>
      <c r="C5" s="383"/>
      <c r="D5" s="383"/>
      <c r="E5" s="383"/>
    </row>
    <row r="7" spans="1:6" x14ac:dyDescent="0.25">
      <c r="A7" s="386" t="s">
        <v>493</v>
      </c>
      <c r="B7" s="386" t="s">
        <v>333</v>
      </c>
      <c r="C7" s="386" t="s">
        <v>494</v>
      </c>
      <c r="D7" s="386" t="s">
        <v>495</v>
      </c>
      <c r="E7" s="386" t="s">
        <v>496</v>
      </c>
    </row>
    <row r="8" spans="1:6" x14ac:dyDescent="0.25">
      <c r="A8" s="383" t="s">
        <v>497</v>
      </c>
      <c r="B8" s="385">
        <v>45183</v>
      </c>
      <c r="C8" s="383">
        <v>39310</v>
      </c>
      <c r="D8" s="383">
        <v>0</v>
      </c>
      <c r="E8" s="387">
        <v>70000000</v>
      </c>
    </row>
    <row r="9" spans="1:6" x14ac:dyDescent="0.25">
      <c r="A9" s="383" t="s">
        <v>497</v>
      </c>
      <c r="B9" s="385">
        <v>45216</v>
      </c>
      <c r="C9" s="383">
        <v>39363</v>
      </c>
      <c r="D9" s="383">
        <v>0</v>
      </c>
      <c r="E9" s="387">
        <v>20000000</v>
      </c>
    </row>
    <row r="10" spans="1:6" x14ac:dyDescent="0.25">
      <c r="A10" s="383" t="s">
        <v>497</v>
      </c>
      <c r="B10" s="385">
        <v>45239</v>
      </c>
      <c r="C10" s="383">
        <v>39410</v>
      </c>
      <c r="D10" s="383">
        <v>0</v>
      </c>
      <c r="E10" s="387">
        <v>40000000</v>
      </c>
    </row>
    <row r="11" spans="1:6" x14ac:dyDescent="0.25">
      <c r="A11" s="383" t="s">
        <v>497</v>
      </c>
      <c r="B11" s="385">
        <v>45278</v>
      </c>
      <c r="C11" s="383">
        <v>39476</v>
      </c>
      <c r="D11" s="383">
        <v>0</v>
      </c>
      <c r="E11" s="387">
        <v>21156800</v>
      </c>
    </row>
    <row r="12" spans="1:6" x14ac:dyDescent="0.25">
      <c r="A12" s="383" t="s">
        <v>497</v>
      </c>
      <c r="B12" s="385">
        <v>45279</v>
      </c>
      <c r="C12" s="383">
        <v>39477</v>
      </c>
      <c r="D12" s="383">
        <v>0</v>
      </c>
      <c r="E12" s="387">
        <v>40000000</v>
      </c>
    </row>
    <row r="13" spans="1:6" x14ac:dyDescent="0.25">
      <c r="A13" s="383" t="s">
        <v>497</v>
      </c>
      <c r="B13" s="385">
        <v>45303</v>
      </c>
      <c r="C13" s="383">
        <v>39515</v>
      </c>
      <c r="D13" s="383">
        <v>0</v>
      </c>
      <c r="E13" s="387">
        <v>20000000</v>
      </c>
    </row>
    <row r="14" spans="1:6" x14ac:dyDescent="0.25">
      <c r="A14" s="383" t="s">
        <v>497</v>
      </c>
      <c r="B14" s="385">
        <v>45335</v>
      </c>
      <c r="C14" s="383">
        <v>39567</v>
      </c>
      <c r="D14" s="383">
        <v>0</v>
      </c>
      <c r="E14" s="387">
        <v>20000000</v>
      </c>
    </row>
    <row r="15" spans="1:6" x14ac:dyDescent="0.25">
      <c r="A15" s="383" t="s">
        <v>497</v>
      </c>
      <c r="B15" s="385">
        <v>45365</v>
      </c>
      <c r="C15" s="383">
        <v>39616</v>
      </c>
      <c r="D15" s="383">
        <v>0</v>
      </c>
      <c r="E15" s="387">
        <v>20000000</v>
      </c>
    </row>
    <row r="16" spans="1:6" x14ac:dyDescent="0.25">
      <c r="A16" s="383" t="s">
        <v>497</v>
      </c>
      <c r="B16" s="385">
        <v>45386</v>
      </c>
      <c r="C16" s="383">
        <v>39651</v>
      </c>
      <c r="D16" s="383">
        <v>0</v>
      </c>
      <c r="E16" s="387">
        <v>20000000</v>
      </c>
    </row>
    <row r="17" spans="1:5" x14ac:dyDescent="0.25">
      <c r="A17" s="383" t="s">
        <v>497</v>
      </c>
      <c r="B17" s="385">
        <v>45422</v>
      </c>
      <c r="C17" s="383">
        <v>39713</v>
      </c>
      <c r="D17" s="383">
        <v>0</v>
      </c>
      <c r="E17" s="387">
        <v>20000000</v>
      </c>
    </row>
    <row r="18" spans="1:5" x14ac:dyDescent="0.25">
      <c r="A18" s="383" t="s">
        <v>497</v>
      </c>
      <c r="B18" s="385">
        <v>45460</v>
      </c>
      <c r="C18" s="383">
        <v>39749</v>
      </c>
      <c r="D18" s="383">
        <v>0</v>
      </c>
      <c r="E18" s="387">
        <v>20000000</v>
      </c>
    </row>
    <row r="19" spans="1:5" x14ac:dyDescent="0.25">
      <c r="A19" s="383" t="s">
        <v>497</v>
      </c>
      <c r="B19" s="385">
        <v>45540</v>
      </c>
      <c r="C19" s="383">
        <v>39848</v>
      </c>
      <c r="D19" s="383">
        <v>0</v>
      </c>
      <c r="E19" s="387">
        <v>24000000</v>
      </c>
    </row>
    <row r="20" spans="1:5" x14ac:dyDescent="0.25">
      <c r="A20" s="383" t="s">
        <v>497</v>
      </c>
      <c r="B20" s="385">
        <v>45576</v>
      </c>
      <c r="C20" s="383">
        <v>39885</v>
      </c>
      <c r="D20" s="383">
        <v>0</v>
      </c>
      <c r="E20" s="387">
        <v>8000000</v>
      </c>
    </row>
    <row r="21" spans="1:5" x14ac:dyDescent="0.25">
      <c r="A21" s="383" t="s">
        <v>497</v>
      </c>
      <c r="B21" s="385">
        <v>45608</v>
      </c>
      <c r="C21" s="383">
        <v>39926</v>
      </c>
      <c r="D21" s="383">
        <v>0</v>
      </c>
      <c r="E21" s="387">
        <v>8000000</v>
      </c>
    </row>
    <row r="22" spans="1:5" x14ac:dyDescent="0.25">
      <c r="A22" s="383" t="s">
        <v>497</v>
      </c>
      <c r="B22" s="385">
        <v>45623</v>
      </c>
      <c r="C22" s="383">
        <v>39936</v>
      </c>
      <c r="D22" s="383">
        <v>0</v>
      </c>
      <c r="E22" s="387">
        <v>12000000</v>
      </c>
    </row>
    <row r="23" spans="1:5" x14ac:dyDescent="0.25">
      <c r="A23" s="383" t="s">
        <v>497</v>
      </c>
      <c r="B23" s="385">
        <v>45623</v>
      </c>
      <c r="C23" s="383">
        <v>39941</v>
      </c>
      <c r="D23" s="383">
        <v>0</v>
      </c>
      <c r="E23" s="387">
        <v>20000000</v>
      </c>
    </row>
    <row r="24" spans="1:5" ht="15.6" thickBot="1" x14ac:dyDescent="0.3">
      <c r="A24" s="383"/>
      <c r="B24" s="383"/>
      <c r="C24" s="383" t="s">
        <v>498</v>
      </c>
      <c r="D24" s="383"/>
      <c r="E24" s="388">
        <f>SUM(E8:E23)</f>
        <v>383156800</v>
      </c>
    </row>
    <row r="25" spans="1:5" ht="15.6" thickTop="1" x14ac:dyDescent="0.25">
      <c r="A25" s="383"/>
      <c r="B25" s="383"/>
      <c r="C25" s="383"/>
      <c r="D25" s="383"/>
      <c r="E25" s="383"/>
    </row>
    <row r="32" spans="1:5" ht="15.6" x14ac:dyDescent="0.3">
      <c r="A32" s="382" t="s">
        <v>487</v>
      </c>
      <c r="B32" s="382"/>
      <c r="C32" s="383"/>
      <c r="E32" s="383" t="s">
        <v>488</v>
      </c>
    </row>
    <row r="34" spans="1:5" x14ac:dyDescent="0.25">
      <c r="A34" s="383" t="s">
        <v>489</v>
      </c>
      <c r="B34" s="383"/>
      <c r="C34" s="385">
        <v>45200</v>
      </c>
      <c r="D34" s="383" t="s">
        <v>490</v>
      </c>
      <c r="E34" s="385">
        <v>45523</v>
      </c>
    </row>
    <row r="35" spans="1:5" x14ac:dyDescent="0.25">
      <c r="A35" s="383" t="s">
        <v>283</v>
      </c>
      <c r="B35" s="383"/>
      <c r="C35" s="383">
        <v>0</v>
      </c>
      <c r="D35" s="383" t="s">
        <v>491</v>
      </c>
      <c r="E35" s="383">
        <v>0</v>
      </c>
    </row>
    <row r="36" spans="1:5" ht="15.6" x14ac:dyDescent="0.3">
      <c r="A36" s="382" t="s">
        <v>499</v>
      </c>
      <c r="B36" s="383"/>
      <c r="C36" s="383"/>
      <c r="D36" s="383"/>
      <c r="E36" s="383"/>
    </row>
    <row r="38" spans="1:5" x14ac:dyDescent="0.25">
      <c r="A38" s="389" t="s">
        <v>493</v>
      </c>
      <c r="B38" s="389" t="s">
        <v>333</v>
      </c>
      <c r="C38" s="389" t="s">
        <v>494</v>
      </c>
      <c r="D38" s="389" t="s">
        <v>495</v>
      </c>
      <c r="E38" s="389" t="s">
        <v>496</v>
      </c>
    </row>
    <row r="39" spans="1:5" x14ac:dyDescent="0.25">
      <c r="A39" s="383" t="s">
        <v>497</v>
      </c>
      <c r="B39" s="385">
        <v>45426</v>
      </c>
      <c r="C39" s="390" t="s">
        <v>500</v>
      </c>
      <c r="E39" s="323">
        <v>296750000</v>
      </c>
    </row>
    <row r="40" spans="1:5" x14ac:dyDescent="0.25">
      <c r="A40" s="383" t="s">
        <v>497</v>
      </c>
      <c r="B40" s="391">
        <v>45490</v>
      </c>
      <c r="C40" s="4">
        <v>39804</v>
      </c>
      <c r="D40" s="392"/>
      <c r="E40" s="387">
        <v>110000000</v>
      </c>
    </row>
    <row r="41" spans="1:5" ht="15.6" thickBot="1" x14ac:dyDescent="0.3">
      <c r="A41" s="383"/>
      <c r="B41" s="385"/>
      <c r="C41" s="383"/>
      <c r="D41" s="323"/>
      <c r="E41" s="388">
        <f>SUM(E39:E40)</f>
        <v>406750000</v>
      </c>
    </row>
    <row r="42" spans="1:5" ht="15.6" thickTop="1" x14ac:dyDescent="0.25">
      <c r="A42" s="383"/>
      <c r="B42" s="385"/>
      <c r="C42" s="383"/>
      <c r="D42" s="323"/>
      <c r="E42" s="387"/>
    </row>
    <row r="43" spans="1:5" x14ac:dyDescent="0.25">
      <c r="A43" s="383"/>
      <c r="B43" s="385"/>
      <c r="C43" s="383"/>
      <c r="D43" s="323"/>
      <c r="E43" s="387"/>
    </row>
    <row r="44" spans="1:5" x14ac:dyDescent="0.25">
      <c r="A44" s="383"/>
      <c r="B44" s="385"/>
      <c r="C44" s="383"/>
      <c r="D44" s="323"/>
      <c r="E44" s="387"/>
    </row>
    <row r="45" spans="1:5" x14ac:dyDescent="0.25">
      <c r="A45" s="383"/>
      <c r="B45" s="385"/>
      <c r="C45" s="383"/>
      <c r="D45" s="383"/>
      <c r="E45" s="387"/>
    </row>
    <row r="46" spans="1:5" x14ac:dyDescent="0.25">
      <c r="A46" s="383"/>
      <c r="B46" s="385"/>
      <c r="C46" s="383"/>
      <c r="D46" s="383"/>
      <c r="E46" s="387"/>
    </row>
    <row r="47" spans="1:5" x14ac:dyDescent="0.25">
      <c r="A47" s="383"/>
      <c r="B47" s="385"/>
      <c r="C47" s="383"/>
      <c r="D47" s="383"/>
      <c r="E47" s="387"/>
    </row>
    <row r="48" spans="1:5" x14ac:dyDescent="0.25">
      <c r="A48" s="383"/>
      <c r="B48" s="385"/>
      <c r="C48" s="383"/>
      <c r="D48" s="383"/>
      <c r="E48" s="387"/>
    </row>
    <row r="49" spans="1:5" x14ac:dyDescent="0.25">
      <c r="A49" s="383"/>
      <c r="B49" s="385"/>
      <c r="C49" s="383"/>
      <c r="D49" s="383"/>
      <c r="E49" s="387"/>
    </row>
    <row r="50" spans="1:5" x14ac:dyDescent="0.25">
      <c r="A50" s="383"/>
      <c r="B50" s="383"/>
      <c r="C50" s="383"/>
      <c r="D50" s="383"/>
      <c r="E50" s="387"/>
    </row>
    <row r="51" spans="1:5" x14ac:dyDescent="0.25">
      <c r="A51" s="383"/>
      <c r="B51" s="383"/>
      <c r="C51" s="383"/>
      <c r="D51" s="383"/>
      <c r="E51" s="387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L44"/>
  <sheetViews>
    <sheetView topLeftCell="A14" zoomScale="98" zoomScaleNormal="98" workbookViewId="0">
      <selection activeCell="A39" sqref="A39"/>
    </sheetView>
  </sheetViews>
  <sheetFormatPr baseColWidth="10" defaultColWidth="9.109375" defaultRowHeight="24.75" customHeight="1" x14ac:dyDescent="0.25"/>
  <cols>
    <col min="1" max="1" width="4" style="4" customWidth="1"/>
    <col min="2" max="2" width="26" style="4" bestFit="1" customWidth="1"/>
    <col min="3" max="3" width="22.44140625" style="4" bestFit="1" customWidth="1"/>
    <col min="4" max="4" width="20.109375" style="4" bestFit="1" customWidth="1"/>
    <col min="5" max="5" width="22.109375" style="4" bestFit="1" customWidth="1"/>
    <col min="6" max="6" width="23.5546875" style="4" bestFit="1" customWidth="1"/>
    <col min="7" max="7" width="2.44140625" style="4" customWidth="1"/>
    <col min="8" max="9" width="19.44140625" style="4" bestFit="1" customWidth="1"/>
    <col min="10" max="10" width="22.6640625" style="4" bestFit="1" customWidth="1"/>
    <col min="11" max="11" width="12.44140625" style="4" bestFit="1" customWidth="1"/>
    <col min="12" max="12" width="17.6640625" style="4" bestFit="1" customWidth="1"/>
    <col min="13" max="13" width="13.33203125" style="4" bestFit="1" customWidth="1"/>
    <col min="14" max="16384" width="9.109375" style="4"/>
  </cols>
  <sheetData>
    <row r="1" spans="2:12" ht="15" x14ac:dyDescent="0.25"/>
    <row r="2" spans="2:12" ht="15" x14ac:dyDescent="0.25"/>
    <row r="3" spans="2:12" ht="15" x14ac:dyDescent="0.25"/>
    <row r="4" spans="2:12" ht="15" x14ac:dyDescent="0.25"/>
    <row r="5" spans="2:12" ht="15" x14ac:dyDescent="0.25">
      <c r="C5" s="406"/>
      <c r="D5" s="36"/>
    </row>
    <row r="6" spans="2:12" ht="16.5" customHeight="1" x14ac:dyDescent="0.3">
      <c r="B6" s="616" t="s">
        <v>501</v>
      </c>
      <c r="C6" s="616"/>
      <c r="D6" s="616"/>
      <c r="E6" s="616"/>
      <c r="F6" s="616"/>
      <c r="G6" s="616"/>
      <c r="H6" s="616"/>
      <c r="I6" s="616"/>
      <c r="J6" s="616"/>
    </row>
    <row r="7" spans="2:12" ht="19.5" customHeight="1" x14ac:dyDescent="0.25">
      <c r="B7" s="618" t="s">
        <v>255</v>
      </c>
      <c r="C7" s="618"/>
      <c r="D7" s="618"/>
      <c r="E7" s="618"/>
      <c r="F7" s="618"/>
      <c r="G7" s="618"/>
      <c r="H7" s="618"/>
      <c r="I7" s="618"/>
      <c r="J7" s="618"/>
    </row>
    <row r="8" spans="2:12" ht="20.25" customHeight="1" x14ac:dyDescent="0.3">
      <c r="B8" s="616" t="s">
        <v>502</v>
      </c>
      <c r="C8" s="616"/>
      <c r="D8" s="616"/>
      <c r="E8" s="616"/>
      <c r="F8" s="616"/>
      <c r="G8" s="616"/>
      <c r="H8" s="616"/>
      <c r="I8" s="616"/>
      <c r="J8" s="616"/>
    </row>
    <row r="9" spans="2:12" ht="20.25" customHeight="1" x14ac:dyDescent="0.3">
      <c r="B9" s="617">
        <v>45838</v>
      </c>
      <c r="C9" s="617"/>
      <c r="D9" s="617"/>
      <c r="E9" s="617"/>
      <c r="F9" s="617"/>
      <c r="G9" s="617"/>
      <c r="H9" s="617"/>
      <c r="I9" s="617"/>
      <c r="J9" s="617"/>
    </row>
    <row r="10" spans="2:12" ht="15.6" x14ac:dyDescent="0.3">
      <c r="B10" s="393"/>
      <c r="C10" s="407"/>
      <c r="D10" s="407"/>
      <c r="E10" s="407"/>
      <c r="F10" s="393"/>
      <c r="G10" s="393"/>
      <c r="H10" s="121"/>
      <c r="I10" s="394"/>
      <c r="J10" s="395"/>
    </row>
    <row r="11" spans="2:12" ht="54.75" customHeight="1" thickBot="1" x14ac:dyDescent="0.3">
      <c r="B11" s="396" t="s">
        <v>241</v>
      </c>
      <c r="C11" s="397" t="s">
        <v>503</v>
      </c>
      <c r="D11" s="397" t="s">
        <v>504</v>
      </c>
      <c r="E11" s="397" t="s">
        <v>505</v>
      </c>
      <c r="F11" s="397" t="s">
        <v>506</v>
      </c>
      <c r="G11" s="397"/>
      <c r="H11" s="397" t="s">
        <v>507</v>
      </c>
      <c r="I11" s="397" t="s">
        <v>508</v>
      </c>
      <c r="J11" s="398" t="s">
        <v>509</v>
      </c>
    </row>
    <row r="12" spans="2:12" ht="24.75" customHeight="1" x14ac:dyDescent="0.25">
      <c r="B12" s="399" t="s">
        <v>510</v>
      </c>
      <c r="C12" s="408">
        <v>57977398.519999996</v>
      </c>
      <c r="D12" s="408">
        <v>1003826</v>
      </c>
      <c r="E12" s="408">
        <v>25682855.010000002</v>
      </c>
      <c r="F12" s="409">
        <f>SUM(C12:E12)</f>
        <v>84664079.530000001</v>
      </c>
      <c r="G12" s="408"/>
      <c r="H12" s="409">
        <v>5881555.6499999994</v>
      </c>
      <c r="I12" s="409">
        <f>+H12</f>
        <v>5881555.6499999994</v>
      </c>
      <c r="J12" s="410">
        <f>+F12+I12</f>
        <v>90545635.180000007</v>
      </c>
      <c r="L12" s="36"/>
    </row>
    <row r="13" spans="2:12" ht="24.75" customHeight="1" x14ac:dyDescent="0.25">
      <c r="B13" s="400" t="s">
        <v>511</v>
      </c>
      <c r="C13" s="411">
        <v>3437429.34</v>
      </c>
      <c r="D13" s="411">
        <v>0</v>
      </c>
      <c r="E13" s="411">
        <v>0</v>
      </c>
      <c r="F13" s="409">
        <f>SUM(C13:E13)</f>
        <v>3437429.34</v>
      </c>
      <c r="G13" s="412"/>
      <c r="H13" s="411">
        <v>0</v>
      </c>
      <c r="I13" s="411">
        <f>+H13</f>
        <v>0</v>
      </c>
      <c r="J13" s="410">
        <f t="shared" ref="J13:J16" si="0">+F13+I13</f>
        <v>3437429.34</v>
      </c>
      <c r="L13" s="36"/>
    </row>
    <row r="14" spans="2:12" ht="24.75" customHeight="1" x14ac:dyDescent="0.25">
      <c r="B14" s="400" t="s">
        <v>512</v>
      </c>
      <c r="C14" s="411">
        <v>0</v>
      </c>
      <c r="D14" s="411">
        <v>0</v>
      </c>
      <c r="E14" s="411">
        <v>0</v>
      </c>
      <c r="F14" s="409">
        <f>SUM(C14:E14)</f>
        <v>0</v>
      </c>
      <c r="G14" s="412"/>
      <c r="H14" s="411">
        <v>0</v>
      </c>
      <c r="I14" s="409">
        <f>+H14</f>
        <v>0</v>
      </c>
      <c r="J14" s="410">
        <f t="shared" si="0"/>
        <v>0</v>
      </c>
      <c r="L14" s="36"/>
    </row>
    <row r="15" spans="2:12" ht="24.75" customHeight="1" x14ac:dyDescent="0.25">
      <c r="B15" s="400" t="s">
        <v>513</v>
      </c>
      <c r="C15" s="411">
        <v>0</v>
      </c>
      <c r="D15" s="411">
        <v>0</v>
      </c>
      <c r="E15" s="411">
        <v>0</v>
      </c>
      <c r="F15" s="409">
        <f>SUM(C15:E15)</f>
        <v>0</v>
      </c>
      <c r="G15" s="412"/>
      <c r="H15" s="411">
        <v>0</v>
      </c>
      <c r="I15" s="411">
        <f>+H15</f>
        <v>0</v>
      </c>
      <c r="J15" s="410">
        <f t="shared" si="0"/>
        <v>0</v>
      </c>
    </row>
    <row r="16" spans="2:12" ht="24.75" customHeight="1" x14ac:dyDescent="0.4">
      <c r="B16" s="400" t="s">
        <v>514</v>
      </c>
      <c r="C16" s="413">
        <v>0</v>
      </c>
      <c r="D16" s="413">
        <v>0</v>
      </c>
      <c r="E16" s="413">
        <v>0</v>
      </c>
      <c r="F16" s="414">
        <f>SUM(C16:E16)</f>
        <v>0</v>
      </c>
      <c r="G16" s="415"/>
      <c r="H16" s="413">
        <v>0</v>
      </c>
      <c r="I16" s="413">
        <f>+H16</f>
        <v>0</v>
      </c>
      <c r="J16" s="416">
        <f t="shared" si="0"/>
        <v>0</v>
      </c>
      <c r="K16" s="417"/>
    </row>
    <row r="17" spans="2:12" ht="39" customHeight="1" x14ac:dyDescent="0.3">
      <c r="B17" s="401" t="s">
        <v>515</v>
      </c>
      <c r="C17" s="418">
        <f>SUM(C12:C16)</f>
        <v>61414827.859999999</v>
      </c>
      <c r="D17" s="418">
        <f>SUM(D12:D16)</f>
        <v>1003826</v>
      </c>
      <c r="E17" s="418">
        <f>SUM(E12:E16)</f>
        <v>25682855.010000002</v>
      </c>
      <c r="F17" s="418">
        <f>SUM(F12:F16)</f>
        <v>88101508.870000005</v>
      </c>
      <c r="G17" s="419"/>
      <c r="H17" s="418">
        <f>SUM(H12:H16)</f>
        <v>5881555.6499999994</v>
      </c>
      <c r="I17" s="418">
        <f>SUM(I12:I16)</f>
        <v>5881555.6499999994</v>
      </c>
      <c r="J17" s="420">
        <f>SUM(J12:J16)</f>
        <v>93983064.520000011</v>
      </c>
      <c r="K17" s="417"/>
      <c r="L17" s="25">
        <v>88297236.270000011</v>
      </c>
    </row>
    <row r="18" spans="2:12" ht="24.75" customHeight="1" x14ac:dyDescent="0.3">
      <c r="B18" s="400"/>
      <c r="C18" s="211"/>
      <c r="D18" s="211"/>
      <c r="E18" s="211"/>
      <c r="F18" s="211"/>
      <c r="G18" s="176"/>
      <c r="H18" s="211"/>
      <c r="I18" s="421"/>
      <c r="J18" s="422"/>
      <c r="K18" s="417"/>
    </row>
    <row r="19" spans="2:12" ht="38.25" customHeight="1" x14ac:dyDescent="0.3">
      <c r="B19" s="402" t="s">
        <v>516</v>
      </c>
      <c r="C19" s="421"/>
      <c r="D19" s="421"/>
      <c r="E19" s="423"/>
      <c r="F19" s="421"/>
      <c r="G19" s="180"/>
      <c r="H19" s="421"/>
      <c r="I19" s="421"/>
      <c r="J19" s="422"/>
      <c r="K19" s="417"/>
    </row>
    <row r="20" spans="2:12" ht="24.75" customHeight="1" x14ac:dyDescent="0.25">
      <c r="B20" s="400" t="s">
        <v>510</v>
      </c>
      <c r="C20" s="211">
        <v>41522351.930000007</v>
      </c>
      <c r="D20" s="211">
        <v>552104.85</v>
      </c>
      <c r="E20" s="211">
        <v>21689345.870000001</v>
      </c>
      <c r="F20" s="209">
        <f>SUM(C20:E20)</f>
        <v>63763802.650000006</v>
      </c>
      <c r="G20" s="176"/>
      <c r="H20" s="211">
        <v>5881555.6499999994</v>
      </c>
      <c r="I20" s="211">
        <f>+H20</f>
        <v>5881555.6499999994</v>
      </c>
      <c r="J20" s="349">
        <f>+F20+I20</f>
        <v>69645358.300000012</v>
      </c>
    </row>
    <row r="21" spans="2:12" ht="24.75" customHeight="1" x14ac:dyDescent="0.25">
      <c r="B21" s="400" t="s">
        <v>517</v>
      </c>
      <c r="C21" s="211">
        <v>585639.6</v>
      </c>
      <c r="D21" s="211">
        <v>16730.45</v>
      </c>
      <c r="E21" s="211">
        <v>102397.66</v>
      </c>
      <c r="F21" s="209">
        <f>SUM(C21:E21)</f>
        <v>704767.71</v>
      </c>
      <c r="G21" s="176"/>
      <c r="H21" s="211">
        <v>0</v>
      </c>
      <c r="I21" s="211">
        <f>+H21</f>
        <v>0</v>
      </c>
      <c r="J21" s="147">
        <f>+F21+I21</f>
        <v>704767.71</v>
      </c>
    </row>
    <row r="22" spans="2:12" ht="24.75" customHeight="1" x14ac:dyDescent="0.25">
      <c r="B22" s="400" t="s">
        <v>513</v>
      </c>
      <c r="C22" s="211">
        <v>0</v>
      </c>
      <c r="D22" s="211">
        <v>0</v>
      </c>
      <c r="E22" s="211">
        <v>0</v>
      </c>
      <c r="F22" s="209">
        <f>SUM(C22:E22)</f>
        <v>0</v>
      </c>
      <c r="G22" s="176"/>
      <c r="H22" s="211">
        <v>0</v>
      </c>
      <c r="I22" s="211">
        <f>+H22</f>
        <v>0</v>
      </c>
      <c r="J22" s="147">
        <f>+F22+I22</f>
        <v>0</v>
      </c>
    </row>
    <row r="23" spans="2:12" ht="24.75" customHeight="1" x14ac:dyDescent="0.4">
      <c r="B23" s="400" t="s">
        <v>518</v>
      </c>
      <c r="C23" s="424">
        <v>0</v>
      </c>
      <c r="D23" s="424">
        <v>0</v>
      </c>
      <c r="E23" s="424">
        <v>0</v>
      </c>
      <c r="F23" s="425">
        <f>SUM(C23:E23)</f>
        <v>0</v>
      </c>
      <c r="G23" s="217"/>
      <c r="H23" s="424">
        <v>0</v>
      </c>
      <c r="I23" s="424">
        <f>+H23</f>
        <v>0</v>
      </c>
      <c r="J23" s="426">
        <f>+F23+I23</f>
        <v>0</v>
      </c>
    </row>
    <row r="24" spans="2:12" ht="41.25" customHeight="1" x14ac:dyDescent="0.6">
      <c r="B24" s="403" t="s">
        <v>519</v>
      </c>
      <c r="C24" s="427">
        <f>SUM(C20:C23)</f>
        <v>42107991.530000009</v>
      </c>
      <c r="D24" s="427">
        <f t="shared" ref="D24:F24" si="1">SUM(D20:D23)</f>
        <v>568835.29999999993</v>
      </c>
      <c r="E24" s="427">
        <f t="shared" si="1"/>
        <v>21791743.530000001</v>
      </c>
      <c r="F24" s="427">
        <f t="shared" si="1"/>
        <v>64468570.360000007</v>
      </c>
      <c r="G24" s="428"/>
      <c r="H24" s="427">
        <f>SUM(H20:H23)</f>
        <v>5881555.6499999994</v>
      </c>
      <c r="I24" s="427">
        <f>SUM(I20:I23)</f>
        <v>5881555.6499999994</v>
      </c>
      <c r="J24" s="429">
        <f>SUM(J20:J23)</f>
        <v>70350126.010000005</v>
      </c>
      <c r="L24" s="25">
        <v>66338689.659999996</v>
      </c>
    </row>
    <row r="25" spans="2:12" ht="24.75" customHeight="1" x14ac:dyDescent="0.6">
      <c r="B25" s="404"/>
      <c r="C25" s="430"/>
      <c r="D25" s="430"/>
      <c r="E25" s="430"/>
      <c r="F25" s="430"/>
      <c r="G25" s="431"/>
      <c r="H25" s="211"/>
      <c r="I25" s="211"/>
      <c r="J25" s="349"/>
    </row>
    <row r="26" spans="2:12" ht="63.75" customHeight="1" x14ac:dyDescent="0.45">
      <c r="B26" s="401" t="s">
        <v>520</v>
      </c>
      <c r="C26" s="432">
        <f>+C17-C24</f>
        <v>19306836.329999991</v>
      </c>
      <c r="D26" s="432">
        <f t="shared" ref="D26:F26" si="2">+D17-D24</f>
        <v>434990.70000000007</v>
      </c>
      <c r="E26" s="432">
        <f t="shared" si="2"/>
        <v>3891111.4800000004</v>
      </c>
      <c r="F26" s="432">
        <f t="shared" si="2"/>
        <v>23632938.509999998</v>
      </c>
      <c r="G26" s="179"/>
      <c r="H26" s="432">
        <f t="shared" ref="H26:I26" si="3">+H17-H24</f>
        <v>0</v>
      </c>
      <c r="I26" s="432">
        <f t="shared" si="3"/>
        <v>0</v>
      </c>
      <c r="J26" s="351">
        <f>+J17-J24</f>
        <v>23632938.510000005</v>
      </c>
      <c r="L26" s="25">
        <v>21958546.610000014</v>
      </c>
    </row>
    <row r="27" spans="2:12" ht="24.75" customHeight="1" x14ac:dyDescent="0.25">
      <c r="B27" s="405"/>
      <c r="C27" s="433"/>
      <c r="D27" s="433"/>
      <c r="E27" s="433"/>
      <c r="F27" s="433"/>
      <c r="G27" s="433"/>
      <c r="H27" s="434"/>
      <c r="I27" s="434"/>
      <c r="J27" s="435"/>
    </row>
    <row r="28" spans="2:12" ht="24.75" customHeight="1" x14ac:dyDescent="0.25">
      <c r="B28" s="36"/>
      <c r="C28" s="121"/>
      <c r="D28" s="121"/>
      <c r="E28" s="436"/>
      <c r="F28" s="121"/>
      <c r="G28" s="121"/>
      <c r="H28" s="121"/>
      <c r="I28" s="121"/>
      <c r="J28" s="121"/>
    </row>
    <row r="29" spans="2:12" ht="24.75" customHeight="1" x14ac:dyDescent="0.25">
      <c r="C29" s="121"/>
      <c r="D29" s="121"/>
      <c r="E29" s="436"/>
      <c r="F29" s="121"/>
      <c r="G29" s="121"/>
      <c r="H29" s="121"/>
      <c r="I29" s="121"/>
      <c r="J29" s="121"/>
    </row>
    <row r="30" spans="2:12" ht="24.75" customHeight="1" x14ac:dyDescent="0.25">
      <c r="C30" s="121"/>
      <c r="D30" s="121"/>
      <c r="E30" s="436"/>
      <c r="F30" s="121"/>
      <c r="G30" s="121"/>
      <c r="H30" s="121"/>
      <c r="I30" s="121"/>
      <c r="J30" s="121"/>
    </row>
    <row r="31" spans="2:12" ht="24.75" customHeight="1" x14ac:dyDescent="0.25">
      <c r="C31" s="121"/>
      <c r="D31" s="121"/>
      <c r="E31" s="436"/>
      <c r="F31" s="121"/>
      <c r="G31" s="121"/>
      <c r="H31" s="121"/>
      <c r="I31" s="121"/>
      <c r="J31" s="121"/>
    </row>
    <row r="32" spans="2:12" ht="24.75" customHeight="1" x14ac:dyDescent="0.25">
      <c r="C32" s="121"/>
      <c r="D32" s="121"/>
      <c r="E32" s="436"/>
      <c r="F32" s="121"/>
      <c r="G32" s="121"/>
      <c r="H32" s="121"/>
      <c r="I32" s="121"/>
      <c r="J32" s="121"/>
    </row>
    <row r="33" spans="3:10" ht="24.75" customHeight="1" x14ac:dyDescent="0.25">
      <c r="C33" s="121"/>
      <c r="D33" s="121"/>
      <c r="E33" s="436"/>
      <c r="F33" s="121"/>
      <c r="G33" s="121"/>
      <c r="H33" s="121"/>
      <c r="I33" s="121"/>
      <c r="J33" s="121"/>
    </row>
    <row r="34" spans="3:10" ht="24.75" customHeight="1" x14ac:dyDescent="0.25">
      <c r="E34" s="36"/>
    </row>
    <row r="35" spans="3:10" ht="24.75" customHeight="1" x14ac:dyDescent="0.25">
      <c r="E35" s="36"/>
      <c r="J35" s="25"/>
    </row>
    <row r="36" spans="3:10" ht="24.75" customHeight="1" x14ac:dyDescent="0.25">
      <c r="E36" s="36"/>
    </row>
    <row r="37" spans="3:10" ht="24.75" customHeight="1" x14ac:dyDescent="0.25">
      <c r="E37" s="36"/>
    </row>
    <row r="38" spans="3:10" ht="24.75" customHeight="1" x14ac:dyDescent="0.25">
      <c r="E38" s="36"/>
    </row>
    <row r="39" spans="3:10" ht="24.75" customHeight="1" x14ac:dyDescent="0.25">
      <c r="E39" s="36"/>
    </row>
    <row r="40" spans="3:10" ht="24.75" customHeight="1" x14ac:dyDescent="0.25">
      <c r="E40" s="36"/>
    </row>
    <row r="41" spans="3:10" ht="24.75" customHeight="1" x14ac:dyDescent="0.25">
      <c r="E41" s="36"/>
    </row>
    <row r="42" spans="3:10" ht="24.75" customHeight="1" x14ac:dyDescent="0.25">
      <c r="E42" s="36"/>
    </row>
    <row r="43" spans="3:10" ht="24.75" customHeight="1" x14ac:dyDescent="0.25">
      <c r="E43" s="36"/>
    </row>
    <row r="44" spans="3:10" ht="24.75" customHeight="1" x14ac:dyDescent="0.25">
      <c r="E44" s="36"/>
    </row>
  </sheetData>
  <mergeCells count="4">
    <mergeCell ref="B8:J8"/>
    <mergeCell ref="B9:J9"/>
    <mergeCell ref="B6:J6"/>
    <mergeCell ref="B7:J7"/>
  </mergeCells>
  <pageMargins left="0.19685039370078741" right="0.19685039370078741" top="0.74803149606299213" bottom="0.74803149606299213" header="0.31496062992125984" footer="0.31496062992125984"/>
  <pageSetup scale="58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H141"/>
  <sheetViews>
    <sheetView view="pageBreakPreview" zoomScale="90" zoomScaleNormal="100" zoomScaleSheetLayoutView="90" workbookViewId="0">
      <selection activeCell="A39" sqref="A39"/>
    </sheetView>
  </sheetViews>
  <sheetFormatPr baseColWidth="10" defaultColWidth="9.109375" defaultRowHeight="24.75" customHeight="1" x14ac:dyDescent="0.25"/>
  <cols>
    <col min="1" max="1" width="4.33203125" style="4" customWidth="1"/>
    <col min="2" max="2" width="57.44140625" style="4" customWidth="1"/>
    <col min="3" max="3" width="25.33203125" style="4" customWidth="1"/>
    <col min="4" max="4" width="2.109375" style="4" customWidth="1"/>
    <col min="5" max="5" width="23.88671875" style="4" customWidth="1"/>
    <col min="6" max="6" width="22" style="4" bestFit="1" customWidth="1"/>
    <col min="7" max="7" width="16.88671875" style="4" customWidth="1"/>
    <col min="8" max="8" width="12.44140625" style="4" customWidth="1"/>
    <col min="9" max="16384" width="9.109375" style="4"/>
  </cols>
  <sheetData>
    <row r="1" spans="2:7" ht="24.75" customHeight="1" x14ac:dyDescent="0.25">
      <c r="C1" s="36"/>
      <c r="D1" s="36"/>
      <c r="E1" s="36"/>
    </row>
    <row r="2" spans="2:7" ht="24.75" customHeight="1" x14ac:dyDescent="0.3">
      <c r="B2" s="47"/>
      <c r="C2" s="47"/>
      <c r="D2" s="47"/>
      <c r="E2" s="47"/>
    </row>
    <row r="3" spans="2:7" ht="24.75" customHeight="1" x14ac:dyDescent="0.3">
      <c r="B3" s="585" t="s">
        <v>521</v>
      </c>
      <c r="C3" s="585"/>
      <c r="D3" s="47"/>
      <c r="E3" s="47"/>
    </row>
    <row r="4" spans="2:7" ht="24.75" customHeight="1" x14ac:dyDescent="0.3">
      <c r="B4" s="585" t="s">
        <v>255</v>
      </c>
      <c r="C4" s="585"/>
      <c r="D4" s="47"/>
      <c r="E4" s="47"/>
    </row>
    <row r="5" spans="2:7" ht="24.75" customHeight="1" x14ac:dyDescent="0.3">
      <c r="B5" s="585" t="s">
        <v>522</v>
      </c>
      <c r="C5" s="585"/>
      <c r="D5" s="47"/>
      <c r="E5" s="47"/>
    </row>
    <row r="6" spans="2:7" ht="24.75" customHeight="1" x14ac:dyDescent="0.3">
      <c r="B6" s="595">
        <v>45838</v>
      </c>
      <c r="C6" s="595"/>
      <c r="D6" s="193"/>
      <c r="F6" s="5"/>
      <c r="G6" s="121"/>
    </row>
    <row r="7" spans="2:7" ht="24.75" customHeight="1" thickBot="1" x14ac:dyDescent="0.35">
      <c r="B7" s="139"/>
      <c r="C7" s="456"/>
      <c r="D7" s="437"/>
      <c r="F7" s="5"/>
      <c r="G7" s="36"/>
    </row>
    <row r="8" spans="2:7" ht="24.75" customHeight="1" thickBot="1" x14ac:dyDescent="0.35">
      <c r="B8" s="141" t="s">
        <v>241</v>
      </c>
      <c r="C8" s="143" t="s">
        <v>258</v>
      </c>
      <c r="D8" s="437"/>
      <c r="F8" s="5"/>
      <c r="G8" s="36"/>
    </row>
    <row r="9" spans="2:7" ht="24.75" customHeight="1" x14ac:dyDescent="0.3">
      <c r="B9" s="438" t="s">
        <v>121</v>
      </c>
      <c r="C9" s="439">
        <v>6570492.96</v>
      </c>
      <c r="D9" s="437"/>
      <c r="E9" s="440"/>
      <c r="F9" s="5"/>
      <c r="G9" s="121"/>
    </row>
    <row r="10" spans="2:7" ht="24.75" customHeight="1" x14ac:dyDescent="0.3">
      <c r="B10" s="441" t="s">
        <v>122</v>
      </c>
      <c r="C10" s="442">
        <v>330713.19</v>
      </c>
      <c r="D10" s="437"/>
      <c r="E10" s="406"/>
      <c r="F10" s="5"/>
      <c r="G10" s="36"/>
    </row>
    <row r="11" spans="2:7" ht="24.75" customHeight="1" x14ac:dyDescent="0.25">
      <c r="B11" s="441" t="s">
        <v>123</v>
      </c>
      <c r="C11" s="442">
        <v>131271.16</v>
      </c>
      <c r="D11" s="457"/>
      <c r="E11" s="406"/>
      <c r="F11" s="5"/>
      <c r="G11" s="121"/>
    </row>
    <row r="12" spans="2:7" ht="24.75" customHeight="1" x14ac:dyDescent="0.3">
      <c r="B12" s="149" t="s">
        <v>124</v>
      </c>
      <c r="C12" s="442">
        <v>10580</v>
      </c>
      <c r="D12" s="437"/>
      <c r="E12" s="406"/>
      <c r="F12" s="5"/>
      <c r="G12" s="36"/>
    </row>
    <row r="13" spans="2:7" ht="24.75" customHeight="1" x14ac:dyDescent="0.3">
      <c r="B13" s="149" t="s">
        <v>827</v>
      </c>
      <c r="C13" s="442">
        <v>3322507.28</v>
      </c>
      <c r="D13" s="437"/>
      <c r="F13" s="5"/>
      <c r="G13" s="36"/>
    </row>
    <row r="14" spans="2:7" ht="24.75" customHeight="1" x14ac:dyDescent="0.4">
      <c r="B14" s="441" t="s">
        <v>716</v>
      </c>
      <c r="C14" s="443">
        <v>538090</v>
      </c>
      <c r="D14" s="437"/>
      <c r="F14" s="5"/>
      <c r="G14" s="121"/>
    </row>
    <row r="15" spans="2:7" ht="24.75" customHeight="1" x14ac:dyDescent="0.45">
      <c r="B15" s="444" t="s">
        <v>126</v>
      </c>
      <c r="C15" s="445">
        <f>SUM(C9:C14)</f>
        <v>10903654.59</v>
      </c>
      <c r="D15" s="437"/>
      <c r="E15" s="36"/>
      <c r="G15" s="25"/>
    </row>
    <row r="16" spans="2:7" ht="24.75" customHeight="1" thickBot="1" x14ac:dyDescent="0.35">
      <c r="B16" s="161"/>
      <c r="C16" s="435"/>
      <c r="D16" s="437"/>
      <c r="E16" s="36"/>
    </row>
    <row r="17" spans="3:5" ht="24.75" customHeight="1" x14ac:dyDescent="0.3">
      <c r="C17" s="291"/>
      <c r="D17" s="437"/>
      <c r="E17" s="36"/>
    </row>
    <row r="18" spans="3:5" ht="24.75" customHeight="1" x14ac:dyDescent="0.3">
      <c r="C18" s="458"/>
      <c r="D18" s="437"/>
      <c r="E18" s="36"/>
    </row>
    <row r="19" spans="3:5" ht="24.75" customHeight="1" x14ac:dyDescent="0.25">
      <c r="C19" s="291"/>
      <c r="E19" s="36"/>
    </row>
    <row r="20" spans="3:5" ht="24.75" customHeight="1" x14ac:dyDescent="0.25">
      <c r="C20" s="291"/>
      <c r="E20" s="36"/>
    </row>
    <row r="21" spans="3:5" ht="24.75" customHeight="1" x14ac:dyDescent="0.25">
      <c r="C21" s="291"/>
      <c r="E21" s="36"/>
    </row>
    <row r="22" spans="3:5" ht="24.75" customHeight="1" x14ac:dyDescent="0.25">
      <c r="C22" s="291"/>
      <c r="E22" s="36"/>
    </row>
    <row r="23" spans="3:5" ht="24.75" customHeight="1" x14ac:dyDescent="0.25">
      <c r="C23" s="291"/>
      <c r="E23" s="36"/>
    </row>
    <row r="24" spans="3:5" ht="24.75" customHeight="1" x14ac:dyDescent="0.25">
      <c r="C24" s="291"/>
      <c r="E24" s="36"/>
    </row>
    <row r="25" spans="3:5" ht="24.75" customHeight="1" x14ac:dyDescent="0.25">
      <c r="C25" s="291"/>
      <c r="E25" s="36"/>
    </row>
    <row r="26" spans="3:5" ht="24.75" customHeight="1" x14ac:dyDescent="0.25">
      <c r="C26" s="291"/>
      <c r="E26" s="36"/>
    </row>
    <row r="27" spans="3:5" ht="24.75" customHeight="1" x14ac:dyDescent="0.25">
      <c r="C27" s="291"/>
      <c r="E27" s="36"/>
    </row>
    <row r="28" spans="3:5" ht="24.75" customHeight="1" x14ac:dyDescent="0.25">
      <c r="C28" s="291"/>
      <c r="E28" s="36"/>
    </row>
    <row r="29" spans="3:5" ht="24.75" customHeight="1" x14ac:dyDescent="0.25">
      <c r="C29" s="291"/>
      <c r="E29" s="36"/>
    </row>
    <row r="30" spans="3:5" ht="24.75" customHeight="1" x14ac:dyDescent="0.25">
      <c r="C30" s="291"/>
      <c r="E30" s="36"/>
    </row>
    <row r="31" spans="3:5" ht="11.25" customHeight="1" x14ac:dyDescent="0.25">
      <c r="C31" s="291"/>
      <c r="E31" s="36"/>
    </row>
    <row r="32" spans="3:5" ht="24.75" customHeight="1" x14ac:dyDescent="0.25">
      <c r="C32" s="36"/>
    </row>
    <row r="33" spans="2:8" ht="24.75" customHeight="1" x14ac:dyDescent="0.3">
      <c r="B33" s="585" t="str">
        <f>+B3</f>
        <v>NOTA 9</v>
      </c>
      <c r="C33" s="585"/>
    </row>
    <row r="34" spans="2:8" ht="24.75" customHeight="1" x14ac:dyDescent="0.3">
      <c r="B34" s="585" t="str">
        <f>+B4</f>
        <v>Cédula de detalle de cuentas</v>
      </c>
      <c r="C34" s="585"/>
    </row>
    <row r="35" spans="2:8" ht="24.75" customHeight="1" x14ac:dyDescent="0.3">
      <c r="B35" s="585" t="str">
        <f>+B5</f>
        <v xml:space="preserve">Cuentas por pagar </v>
      </c>
      <c r="C35" s="585"/>
      <c r="E35" s="459"/>
      <c r="F35" s="460"/>
      <c r="H35" s="36"/>
    </row>
    <row r="36" spans="2:8" ht="24.75" customHeight="1" x14ac:dyDescent="0.3">
      <c r="B36" s="595">
        <v>45838</v>
      </c>
      <c r="C36" s="595"/>
      <c r="E36" s="459"/>
      <c r="F36" s="460"/>
      <c r="H36" s="32"/>
    </row>
    <row r="37" spans="2:8" ht="24.75" customHeight="1" thickBot="1" x14ac:dyDescent="0.3">
      <c r="E37" s="459"/>
      <c r="F37" s="460"/>
      <c r="H37" s="32"/>
    </row>
    <row r="38" spans="2:8" ht="24.75" customHeight="1" thickBot="1" x14ac:dyDescent="0.35">
      <c r="B38" s="141" t="s">
        <v>241</v>
      </c>
      <c r="C38" s="143" t="s">
        <v>258</v>
      </c>
      <c r="E38" s="459"/>
      <c r="F38" s="460"/>
      <c r="H38" s="32"/>
    </row>
    <row r="39" spans="2:8" ht="24.75" customHeight="1" x14ac:dyDescent="0.25">
      <c r="B39" s="446" t="s">
        <v>832</v>
      </c>
      <c r="C39" s="447">
        <v>27317.99</v>
      </c>
      <c r="E39" s="459"/>
      <c r="F39" s="460"/>
    </row>
    <row r="40" spans="2:8" ht="24.75" customHeight="1" x14ac:dyDescent="0.25">
      <c r="B40" s="438" t="s">
        <v>845</v>
      </c>
      <c r="C40" s="448">
        <v>11100</v>
      </c>
      <c r="E40" s="459"/>
      <c r="F40" s="460"/>
    </row>
    <row r="41" spans="2:8" ht="24.75" customHeight="1" x14ac:dyDescent="0.25">
      <c r="B41" s="438" t="s">
        <v>846</v>
      </c>
      <c r="C41" s="448">
        <v>950000</v>
      </c>
      <c r="E41" s="459"/>
      <c r="F41" s="460"/>
    </row>
    <row r="42" spans="2:8" ht="24.75" customHeight="1" x14ac:dyDescent="0.25">
      <c r="B42" s="438" t="s">
        <v>847</v>
      </c>
      <c r="C42" s="448">
        <v>12390</v>
      </c>
      <c r="E42" s="459"/>
      <c r="F42" s="460"/>
    </row>
    <row r="43" spans="2:8" ht="24.75" customHeight="1" x14ac:dyDescent="0.25">
      <c r="B43" s="438" t="s">
        <v>848</v>
      </c>
      <c r="C43" s="448">
        <v>159300</v>
      </c>
      <c r="E43" s="459"/>
      <c r="F43" s="460"/>
    </row>
    <row r="44" spans="2:8" ht="24.75" customHeight="1" x14ac:dyDescent="0.25">
      <c r="B44" s="438" t="s">
        <v>849</v>
      </c>
      <c r="C44" s="448">
        <v>686358.8</v>
      </c>
      <c r="E44" s="459"/>
      <c r="F44" s="460"/>
    </row>
    <row r="45" spans="2:8" ht="24.75" customHeight="1" x14ac:dyDescent="0.25">
      <c r="B45" s="438" t="s">
        <v>850</v>
      </c>
      <c r="C45" s="448">
        <v>2722538.49</v>
      </c>
      <c r="E45" s="459"/>
      <c r="F45" s="460"/>
    </row>
    <row r="46" spans="2:8" ht="24.75" customHeight="1" x14ac:dyDescent="0.25">
      <c r="B46" s="438" t="s">
        <v>851</v>
      </c>
      <c r="C46" s="448">
        <v>40537.72</v>
      </c>
      <c r="E46" s="459"/>
      <c r="F46" s="460"/>
    </row>
    <row r="47" spans="2:8" ht="24.75" customHeight="1" x14ac:dyDescent="0.25">
      <c r="B47" s="438" t="s">
        <v>852</v>
      </c>
      <c r="C47" s="448">
        <v>216648</v>
      </c>
      <c r="E47" s="459"/>
      <c r="F47" s="460"/>
    </row>
    <row r="48" spans="2:8" ht="24.75" customHeight="1" x14ac:dyDescent="0.25">
      <c r="B48" s="438" t="s">
        <v>853</v>
      </c>
      <c r="C48" s="448">
        <v>29500</v>
      </c>
      <c r="E48" s="459"/>
      <c r="F48" s="460"/>
    </row>
    <row r="49" spans="2:6" ht="24.75" customHeight="1" x14ac:dyDescent="0.25">
      <c r="B49" s="438" t="s">
        <v>854</v>
      </c>
      <c r="C49" s="448">
        <v>18451.45</v>
      </c>
      <c r="E49" s="459"/>
      <c r="F49" s="460"/>
    </row>
    <row r="50" spans="2:6" ht="24.75" customHeight="1" x14ac:dyDescent="0.25">
      <c r="B50" s="438" t="s">
        <v>855</v>
      </c>
      <c r="C50" s="448">
        <v>605000</v>
      </c>
      <c r="E50" s="459"/>
      <c r="F50" s="460"/>
    </row>
    <row r="51" spans="2:6" ht="24.75" customHeight="1" x14ac:dyDescent="0.25">
      <c r="B51" s="438" t="s">
        <v>856</v>
      </c>
      <c r="C51" s="448">
        <v>178150.5</v>
      </c>
      <c r="E51" s="459"/>
      <c r="F51" s="460"/>
    </row>
    <row r="52" spans="2:6" ht="24.75" customHeight="1" x14ac:dyDescent="0.25">
      <c r="B52" s="438" t="s">
        <v>857</v>
      </c>
      <c r="C52" s="448">
        <v>630000.01</v>
      </c>
      <c r="E52" s="459"/>
      <c r="F52" s="460"/>
    </row>
    <row r="53" spans="2:6" ht="23.25" customHeight="1" x14ac:dyDescent="0.25">
      <c r="B53" s="438" t="s">
        <v>858</v>
      </c>
      <c r="C53" s="449">
        <v>283200</v>
      </c>
    </row>
    <row r="54" spans="2:6" ht="24.75" customHeight="1" thickBot="1" x14ac:dyDescent="0.5">
      <c r="B54" s="184" t="s">
        <v>274</v>
      </c>
      <c r="C54" s="450">
        <f>SUM(C39:C53)</f>
        <v>6570492.96</v>
      </c>
      <c r="E54" s="36"/>
    </row>
    <row r="55" spans="2:6" ht="15" customHeight="1" x14ac:dyDescent="0.25">
      <c r="C55" s="291"/>
      <c r="E55" s="36"/>
    </row>
    <row r="56" spans="2:6" ht="24.75" customHeight="1" x14ac:dyDescent="0.25">
      <c r="C56" s="291"/>
      <c r="E56" s="36"/>
    </row>
    <row r="57" spans="2:6" ht="24.75" customHeight="1" x14ac:dyDescent="0.3">
      <c r="B57" s="585" t="str">
        <f>+B33</f>
        <v>NOTA 9</v>
      </c>
      <c r="C57" s="585"/>
    </row>
    <row r="58" spans="2:6" ht="24.75" customHeight="1" x14ac:dyDescent="0.3">
      <c r="B58" s="585" t="str">
        <f>+B34</f>
        <v>Cédula de detalle de cuentas</v>
      </c>
      <c r="C58" s="585"/>
    </row>
    <row r="59" spans="2:6" ht="24.75" customHeight="1" x14ac:dyDescent="0.3">
      <c r="B59" s="585" t="s">
        <v>523</v>
      </c>
      <c r="C59" s="585"/>
    </row>
    <row r="60" spans="2:6" ht="24.75" customHeight="1" x14ac:dyDescent="0.3">
      <c r="B60" s="595">
        <v>45838</v>
      </c>
      <c r="C60" s="595"/>
    </row>
    <row r="61" spans="2:6" ht="9.75" customHeight="1" thickBot="1" x14ac:dyDescent="0.3">
      <c r="C61" s="36"/>
    </row>
    <row r="62" spans="2:6" ht="24.75" customHeight="1" thickBot="1" x14ac:dyDescent="0.35">
      <c r="B62" s="141" t="s">
        <v>241</v>
      </c>
      <c r="C62" s="143" t="s">
        <v>258</v>
      </c>
    </row>
    <row r="63" spans="2:6" ht="24.75" customHeight="1" x14ac:dyDescent="0.25">
      <c r="B63" s="441" t="s">
        <v>690</v>
      </c>
      <c r="C63" s="451">
        <v>330713.19</v>
      </c>
      <c r="D63" s="461"/>
      <c r="E63" s="462"/>
    </row>
    <row r="64" spans="2:6" ht="25.5" hidden="1" customHeight="1" x14ac:dyDescent="0.25">
      <c r="B64" s="441" t="s">
        <v>252</v>
      </c>
      <c r="C64" s="452"/>
      <c r="D64" s="461"/>
      <c r="E64" s="462"/>
    </row>
    <row r="65" spans="2:4" ht="24.75" customHeight="1" x14ac:dyDescent="0.45">
      <c r="B65" s="158" t="s">
        <v>481</v>
      </c>
      <c r="C65" s="351">
        <f>SUM(C63:C64)</f>
        <v>330713.19</v>
      </c>
    </row>
    <row r="66" spans="2:4" ht="15.6" thickBot="1" x14ac:dyDescent="0.3">
      <c r="B66" s="161"/>
      <c r="C66" s="435">
        <f>+C10-C65</f>
        <v>0</v>
      </c>
      <c r="D66" s="32"/>
    </row>
    <row r="67" spans="2:4" ht="25.5" customHeight="1" x14ac:dyDescent="0.25">
      <c r="D67" s="32"/>
    </row>
    <row r="68" spans="2:4" ht="25.5" customHeight="1" x14ac:dyDescent="0.25">
      <c r="D68" s="32"/>
    </row>
    <row r="69" spans="2:4" ht="25.5" customHeight="1" x14ac:dyDescent="0.25">
      <c r="D69" s="32"/>
    </row>
    <row r="70" spans="2:4" ht="25.5" customHeight="1" x14ac:dyDescent="0.25">
      <c r="D70" s="32"/>
    </row>
    <row r="71" spans="2:4" ht="25.5" customHeight="1" x14ac:dyDescent="0.25">
      <c r="D71" s="32"/>
    </row>
    <row r="72" spans="2:4" ht="25.5" customHeight="1" x14ac:dyDescent="0.25">
      <c r="D72" s="32"/>
    </row>
    <row r="73" spans="2:4" ht="25.5" customHeight="1" x14ac:dyDescent="0.25">
      <c r="D73" s="32"/>
    </row>
    <row r="74" spans="2:4" ht="25.5" customHeight="1" x14ac:dyDescent="0.25">
      <c r="D74" s="32"/>
    </row>
    <row r="75" spans="2:4" ht="25.5" customHeight="1" x14ac:dyDescent="0.25">
      <c r="D75" s="32"/>
    </row>
    <row r="76" spans="2:4" ht="25.5" customHeight="1" x14ac:dyDescent="0.25">
      <c r="D76" s="32"/>
    </row>
    <row r="77" spans="2:4" ht="25.5" customHeight="1" x14ac:dyDescent="0.25">
      <c r="D77" s="32"/>
    </row>
    <row r="78" spans="2:4" ht="25.5" customHeight="1" x14ac:dyDescent="0.25">
      <c r="D78" s="32"/>
    </row>
    <row r="79" spans="2:4" ht="25.5" customHeight="1" x14ac:dyDescent="0.25">
      <c r="C79" s="25"/>
      <c r="D79" s="32"/>
    </row>
    <row r="80" spans="2:4" ht="18" customHeight="1" x14ac:dyDescent="0.25">
      <c r="D80" s="291"/>
    </row>
    <row r="81" spans="2:4" ht="25.5" customHeight="1" x14ac:dyDescent="0.3">
      <c r="B81" s="585" t="str">
        <f>+B57</f>
        <v>NOTA 9</v>
      </c>
      <c r="C81" s="585"/>
      <c r="D81" s="36"/>
    </row>
    <row r="82" spans="2:4" ht="25.5" customHeight="1" x14ac:dyDescent="0.3">
      <c r="B82" s="585" t="str">
        <f>+B58</f>
        <v>Cédula de detalle de cuentas</v>
      </c>
      <c r="C82" s="585"/>
    </row>
    <row r="83" spans="2:4" ht="25.5" customHeight="1" x14ac:dyDescent="0.3">
      <c r="B83" s="585" t="s">
        <v>124</v>
      </c>
      <c r="C83" s="585"/>
    </row>
    <row r="84" spans="2:4" ht="25.5" customHeight="1" x14ac:dyDescent="0.3">
      <c r="B84" s="595">
        <v>45838</v>
      </c>
      <c r="C84" s="595"/>
    </row>
    <row r="85" spans="2:4" ht="9" customHeight="1" thickBot="1" x14ac:dyDescent="0.3"/>
    <row r="86" spans="2:4" ht="24.75" customHeight="1" x14ac:dyDescent="0.3">
      <c r="B86" s="260" t="s">
        <v>241</v>
      </c>
      <c r="C86" s="237" t="s">
        <v>258</v>
      </c>
    </row>
    <row r="87" spans="2:4" ht="23.25" customHeight="1" x14ac:dyDescent="0.25">
      <c r="B87" s="438" t="s">
        <v>860</v>
      </c>
      <c r="C87" s="448">
        <v>300</v>
      </c>
    </row>
    <row r="88" spans="2:4" ht="23.25" customHeight="1" x14ac:dyDescent="0.25">
      <c r="B88" s="438" t="s">
        <v>862</v>
      </c>
      <c r="C88" s="448">
        <v>820</v>
      </c>
    </row>
    <row r="89" spans="2:4" ht="23.25" customHeight="1" x14ac:dyDescent="0.25">
      <c r="B89" s="438" t="s">
        <v>863</v>
      </c>
      <c r="C89" s="448">
        <v>2140</v>
      </c>
    </row>
    <row r="90" spans="2:4" ht="23.25" customHeight="1" x14ac:dyDescent="0.25">
      <c r="B90" s="438" t="s">
        <v>864</v>
      </c>
      <c r="C90" s="448">
        <v>3080</v>
      </c>
    </row>
    <row r="91" spans="2:4" ht="23.25" customHeight="1" x14ac:dyDescent="0.25">
      <c r="B91" s="438" t="s">
        <v>866</v>
      </c>
      <c r="C91" s="448">
        <v>260</v>
      </c>
    </row>
    <row r="92" spans="2:4" ht="23.25" customHeight="1" x14ac:dyDescent="0.25">
      <c r="B92" s="438" t="s">
        <v>867</v>
      </c>
      <c r="C92" s="448">
        <v>600</v>
      </c>
    </row>
    <row r="93" spans="2:4" ht="23.25" customHeight="1" x14ac:dyDescent="0.25">
      <c r="B93" s="438" t="s">
        <v>868</v>
      </c>
      <c r="C93" s="448">
        <v>1620</v>
      </c>
    </row>
    <row r="94" spans="2:4" ht="23.25" customHeight="1" x14ac:dyDescent="0.25">
      <c r="B94" s="438" t="s">
        <v>870</v>
      </c>
      <c r="C94" s="448">
        <v>860</v>
      </c>
    </row>
    <row r="95" spans="2:4" ht="23.25" customHeight="1" x14ac:dyDescent="0.25">
      <c r="B95" s="438" t="s">
        <v>871</v>
      </c>
      <c r="C95" s="448">
        <v>300</v>
      </c>
    </row>
    <row r="96" spans="2:4" ht="23.25" hidden="1" customHeight="1" x14ac:dyDescent="0.25">
      <c r="B96" s="438" t="s">
        <v>761</v>
      </c>
      <c r="C96" s="448"/>
    </row>
    <row r="97" spans="2:6" ht="23.25" hidden="1" customHeight="1" x14ac:dyDescent="0.25">
      <c r="B97" s="438" t="s">
        <v>642</v>
      </c>
      <c r="C97" s="448"/>
    </row>
    <row r="98" spans="2:6" ht="23.25" customHeight="1" x14ac:dyDescent="0.25">
      <c r="B98" s="438" t="s">
        <v>872</v>
      </c>
      <c r="C98" s="448">
        <v>600</v>
      </c>
    </row>
    <row r="99" spans="2:6" ht="23.25" hidden="1" customHeight="1" x14ac:dyDescent="0.25">
      <c r="B99" s="438" t="s">
        <v>822</v>
      </c>
      <c r="C99" s="448"/>
    </row>
    <row r="100" spans="2:6" ht="23.25" hidden="1" customHeight="1" x14ac:dyDescent="0.25">
      <c r="B100" s="438" t="s">
        <v>823</v>
      </c>
      <c r="C100" s="448"/>
    </row>
    <row r="101" spans="2:6" ht="23.25" hidden="1" customHeight="1" x14ac:dyDescent="0.25">
      <c r="B101" s="438" t="s">
        <v>824</v>
      </c>
      <c r="C101" s="448"/>
    </row>
    <row r="102" spans="2:6" ht="23.25" hidden="1" customHeight="1" x14ac:dyDescent="0.25">
      <c r="B102" s="438" t="s">
        <v>825</v>
      </c>
      <c r="C102" s="448"/>
    </row>
    <row r="103" spans="2:6" ht="23.25" hidden="1" customHeight="1" x14ac:dyDescent="0.25">
      <c r="B103" s="438" t="s">
        <v>826</v>
      </c>
      <c r="C103" s="449"/>
    </row>
    <row r="104" spans="2:6" ht="23.25" hidden="1" customHeight="1" x14ac:dyDescent="0.25">
      <c r="B104" s="438" t="s">
        <v>524</v>
      </c>
      <c r="C104" s="448"/>
    </row>
    <row r="105" spans="2:6" ht="23.25" hidden="1" customHeight="1" x14ac:dyDescent="0.25">
      <c r="B105" s="438" t="s">
        <v>525</v>
      </c>
      <c r="C105" s="449"/>
    </row>
    <row r="106" spans="2:6" ht="24.75" customHeight="1" x14ac:dyDescent="0.45">
      <c r="B106" s="158" t="s">
        <v>481</v>
      </c>
      <c r="C106" s="351">
        <f>SUM(C87:C105)</f>
        <v>10580</v>
      </c>
    </row>
    <row r="107" spans="2:6" ht="24.75" customHeight="1" thickBot="1" x14ac:dyDescent="0.3">
      <c r="B107" s="161"/>
      <c r="C107" s="435"/>
    </row>
    <row r="108" spans="2:6" ht="8.25" customHeight="1" x14ac:dyDescent="0.25"/>
    <row r="109" spans="2:6" ht="24.75" customHeight="1" x14ac:dyDescent="0.25">
      <c r="C109" s="25"/>
      <c r="E109" s="438" t="s">
        <v>865</v>
      </c>
      <c r="F109" s="448">
        <v>337159</v>
      </c>
    </row>
    <row r="110" spans="2:6" ht="24.75" hidden="1" customHeight="1" x14ac:dyDescent="0.3">
      <c r="B110" s="585" t="s">
        <v>521</v>
      </c>
      <c r="C110" s="585"/>
    </row>
    <row r="111" spans="2:6" ht="24.75" hidden="1" customHeight="1" x14ac:dyDescent="0.3">
      <c r="B111" s="585" t="s">
        <v>255</v>
      </c>
      <c r="C111" s="585"/>
    </row>
    <row r="112" spans="2:6" ht="24.75" hidden="1" customHeight="1" x14ac:dyDescent="0.3">
      <c r="B112" s="585" t="s">
        <v>124</v>
      </c>
      <c r="C112" s="585"/>
    </row>
    <row r="113" spans="2:6" ht="24.75" hidden="1" customHeight="1" x14ac:dyDescent="0.3">
      <c r="B113" s="595">
        <v>45626</v>
      </c>
      <c r="C113" s="595"/>
    </row>
    <row r="114" spans="2:6" ht="12" hidden="1" customHeight="1" thickBot="1" x14ac:dyDescent="0.3"/>
    <row r="115" spans="2:6" ht="24.75" hidden="1" customHeight="1" thickBot="1" x14ac:dyDescent="0.35">
      <c r="B115" s="260" t="s">
        <v>241</v>
      </c>
      <c r="C115" s="237" t="s">
        <v>258</v>
      </c>
    </row>
    <row r="116" spans="2:6" ht="24.75" hidden="1" customHeight="1" x14ac:dyDescent="0.25">
      <c r="B116" s="446" t="s">
        <v>526</v>
      </c>
      <c r="C116" s="447"/>
    </row>
    <row r="117" spans="2:6" ht="24.75" hidden="1" customHeight="1" x14ac:dyDescent="0.25">
      <c r="B117" s="441" t="s">
        <v>527</v>
      </c>
      <c r="C117" s="452"/>
    </row>
    <row r="118" spans="2:6" ht="24.75" hidden="1" customHeight="1" x14ac:dyDescent="0.45">
      <c r="B118" s="158" t="s">
        <v>481</v>
      </c>
      <c r="C118" s="351">
        <f>SUM(C116:C117)</f>
        <v>0</v>
      </c>
    </row>
    <row r="119" spans="2:6" ht="24.75" customHeight="1" x14ac:dyDescent="0.25">
      <c r="E119" s="441" t="s">
        <v>859</v>
      </c>
      <c r="F119" s="451">
        <v>303443.09999999998</v>
      </c>
    </row>
    <row r="120" spans="2:6" ht="24.75" hidden="1" customHeight="1" x14ac:dyDescent="0.25">
      <c r="C120" s="25"/>
    </row>
    <row r="121" spans="2:6" ht="24.75" hidden="1" customHeight="1" x14ac:dyDescent="0.25"/>
    <row r="122" spans="2:6" ht="24.75" hidden="1" customHeight="1" x14ac:dyDescent="0.3">
      <c r="B122" s="585" t="s">
        <v>521</v>
      </c>
      <c r="C122" s="585"/>
    </row>
    <row r="123" spans="2:6" ht="23.25" hidden="1" customHeight="1" x14ac:dyDescent="0.3">
      <c r="B123" s="585" t="s">
        <v>255</v>
      </c>
      <c r="C123" s="585"/>
    </row>
    <row r="124" spans="2:6" ht="24.75" hidden="1" customHeight="1" x14ac:dyDescent="0.3">
      <c r="B124" s="585" t="s">
        <v>528</v>
      </c>
      <c r="C124" s="585"/>
    </row>
    <row r="125" spans="2:6" ht="24.75" hidden="1" customHeight="1" x14ac:dyDescent="0.3">
      <c r="B125" s="595">
        <v>45657</v>
      </c>
      <c r="C125" s="595"/>
    </row>
    <row r="126" spans="2:6" ht="24.75" hidden="1" customHeight="1" thickBot="1" x14ac:dyDescent="0.3"/>
    <row r="127" spans="2:6" ht="24.75" hidden="1" customHeight="1" thickBot="1" x14ac:dyDescent="0.35">
      <c r="B127" s="260" t="s">
        <v>241</v>
      </c>
      <c r="C127" s="237" t="s">
        <v>258</v>
      </c>
    </row>
    <row r="128" spans="2:6" ht="23.25" hidden="1" customHeight="1" x14ac:dyDescent="0.25">
      <c r="B128" s="446" t="s">
        <v>529</v>
      </c>
      <c r="C128" s="447" t="e">
        <f>+#REF!</f>
        <v>#REF!</v>
      </c>
    </row>
    <row r="129" spans="2:6" ht="24.75" hidden="1" customHeight="1" x14ac:dyDescent="0.45">
      <c r="B129" s="158" t="s">
        <v>481</v>
      </c>
      <c r="C129" s="351" t="e">
        <f>SUM(C128:C128)</f>
        <v>#REF!</v>
      </c>
    </row>
    <row r="130" spans="2:6" ht="24.75" hidden="1" customHeight="1" thickBot="1" x14ac:dyDescent="0.3">
      <c r="B130" s="161"/>
      <c r="C130" s="435"/>
    </row>
    <row r="131" spans="2:6" ht="24.75" hidden="1" customHeight="1" x14ac:dyDescent="0.25"/>
    <row r="132" spans="2:6" ht="24.75" customHeight="1" x14ac:dyDescent="0.25">
      <c r="E132" s="438" t="s">
        <v>869</v>
      </c>
      <c r="F132" s="448">
        <v>127211.85</v>
      </c>
    </row>
    <row r="133" spans="2:6" ht="24.75" customHeight="1" x14ac:dyDescent="0.3">
      <c r="B133" s="585" t="s">
        <v>521</v>
      </c>
      <c r="C133" s="585"/>
      <c r="E133" s="438" t="s">
        <v>861</v>
      </c>
      <c r="F133" s="448">
        <v>303443.09999999998</v>
      </c>
    </row>
    <row r="134" spans="2:6" ht="24.75" customHeight="1" x14ac:dyDescent="0.3">
      <c r="B134" s="585" t="s">
        <v>255</v>
      </c>
      <c r="C134" s="585"/>
      <c r="F134" s="32">
        <f>SUM(F109:F133)</f>
        <v>1071257.0499999998</v>
      </c>
    </row>
    <row r="135" spans="2:6" ht="24.75" customHeight="1" x14ac:dyDescent="0.3">
      <c r="B135" s="585" t="s">
        <v>827</v>
      </c>
      <c r="C135" s="585"/>
      <c r="F135" s="36"/>
    </row>
    <row r="136" spans="2:6" ht="24.75" customHeight="1" thickBot="1" x14ac:dyDescent="0.35">
      <c r="B136" s="595">
        <v>45838</v>
      </c>
      <c r="C136" s="595"/>
    </row>
    <row r="137" spans="2:6" ht="24.75" customHeight="1" thickBot="1" x14ac:dyDescent="0.35">
      <c r="B137" s="141" t="s">
        <v>241</v>
      </c>
      <c r="C137" s="143" t="s">
        <v>258</v>
      </c>
    </row>
    <row r="138" spans="2:6" ht="24.75" customHeight="1" x14ac:dyDescent="0.25">
      <c r="B138" s="453" t="s">
        <v>873</v>
      </c>
      <c r="C138" s="454">
        <v>1634382.74</v>
      </c>
    </row>
    <row r="139" spans="2:6" ht="24.75" customHeight="1" x14ac:dyDescent="0.25">
      <c r="B139" s="441" t="s">
        <v>874</v>
      </c>
      <c r="C139" s="455">
        <v>1688124.54</v>
      </c>
    </row>
    <row r="140" spans="2:6" ht="24.75" customHeight="1" x14ac:dyDescent="0.45">
      <c r="B140" s="158" t="s">
        <v>481</v>
      </c>
      <c r="C140" s="351">
        <f>SUM(C138:C139)</f>
        <v>3322507.2800000003</v>
      </c>
    </row>
    <row r="141" spans="2:6" ht="24.75" customHeight="1" thickBot="1" x14ac:dyDescent="0.3">
      <c r="B141" s="161"/>
      <c r="C141" s="435"/>
    </row>
  </sheetData>
  <sortState xmlns:xlrd2="http://schemas.microsoft.com/office/spreadsheetml/2017/richdata2" ref="A47:C53">
    <sortCondition ref="A47:A53"/>
  </sortState>
  <mergeCells count="28">
    <mergeCell ref="B133:C133"/>
    <mergeCell ref="B134:C134"/>
    <mergeCell ref="B135:C135"/>
    <mergeCell ref="B136:C136"/>
    <mergeCell ref="B122:C122"/>
    <mergeCell ref="B123:C123"/>
    <mergeCell ref="B124:C124"/>
    <mergeCell ref="B125:C125"/>
    <mergeCell ref="B111:C111"/>
    <mergeCell ref="B112:C112"/>
    <mergeCell ref="B113:C113"/>
    <mergeCell ref="B110:C110"/>
    <mergeCell ref="B59:C59"/>
    <mergeCell ref="B60:C60"/>
    <mergeCell ref="B81:C81"/>
    <mergeCell ref="B82:C82"/>
    <mergeCell ref="B84:C84"/>
    <mergeCell ref="B83:C83"/>
    <mergeCell ref="B3:C3"/>
    <mergeCell ref="B4:C4"/>
    <mergeCell ref="B5:C5"/>
    <mergeCell ref="B6:C6"/>
    <mergeCell ref="B57:C57"/>
    <mergeCell ref="B58:C58"/>
    <mergeCell ref="B33:C33"/>
    <mergeCell ref="B34:C34"/>
    <mergeCell ref="B35:C35"/>
    <mergeCell ref="B36:C36"/>
  </mergeCells>
  <pageMargins left="0.9055118110236221" right="0.70866141732283472" top="0.74803149606299213" bottom="0.74803149606299213" header="0.31496062992125984" footer="0.31496062992125984"/>
  <pageSetup scale="30" orientation="portrait" r:id="rId1"/>
  <rowBreaks count="2" manualBreakCount="2">
    <brk id="30" max="2" man="1"/>
    <brk id="67" max="2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FE72-4F63-4CFA-8E3D-5CC06D82A2B3}">
  <dimension ref="B1:F43"/>
  <sheetViews>
    <sheetView view="pageBreakPreview" topLeftCell="A20" zoomScale="90" zoomScaleNormal="100" zoomScaleSheetLayoutView="90" workbookViewId="0">
      <selection activeCell="A39" sqref="A39"/>
    </sheetView>
  </sheetViews>
  <sheetFormatPr baseColWidth="10" defaultColWidth="9.109375" defaultRowHeight="24.75" customHeight="1" x14ac:dyDescent="0.25"/>
  <cols>
    <col min="1" max="1" width="4.88671875" style="4" customWidth="1"/>
    <col min="2" max="2" width="64.6640625" style="4" customWidth="1"/>
    <col min="3" max="4" width="25.33203125" style="4" customWidth="1"/>
    <col min="5" max="5" width="17.44140625" style="4" bestFit="1" customWidth="1"/>
    <col min="6" max="6" width="16.88671875" style="4" customWidth="1"/>
    <col min="7" max="7" width="12.44140625" style="4" customWidth="1"/>
    <col min="8" max="16384" width="9.109375" style="4"/>
  </cols>
  <sheetData>
    <row r="1" spans="2:6" ht="24.75" customHeight="1" x14ac:dyDescent="0.25">
      <c r="C1" s="36"/>
      <c r="D1" s="33"/>
    </row>
    <row r="2" spans="2:6" ht="24.75" customHeight="1" x14ac:dyDescent="0.3">
      <c r="B2" s="47"/>
      <c r="C2" s="47"/>
      <c r="D2" s="47"/>
    </row>
    <row r="3" spans="2:6" ht="24.75" customHeight="1" x14ac:dyDescent="0.3">
      <c r="B3" s="585" t="s">
        <v>530</v>
      </c>
      <c r="C3" s="585"/>
      <c r="D3" s="35"/>
    </row>
    <row r="4" spans="2:6" ht="24.75" customHeight="1" x14ac:dyDescent="0.3">
      <c r="B4" s="585" t="s">
        <v>255</v>
      </c>
      <c r="C4" s="585"/>
      <c r="D4" s="35"/>
    </row>
    <row r="5" spans="2:6" ht="24.75" customHeight="1" x14ac:dyDescent="0.3">
      <c r="B5" s="585" t="s">
        <v>531</v>
      </c>
      <c r="C5" s="585"/>
      <c r="D5" s="35"/>
    </row>
    <row r="6" spans="2:6" ht="24.75" customHeight="1" x14ac:dyDescent="0.3">
      <c r="B6" s="595">
        <v>45838</v>
      </c>
      <c r="C6" s="595"/>
      <c r="D6" s="138"/>
      <c r="E6" s="5"/>
      <c r="F6" s="121"/>
    </row>
    <row r="7" spans="2:6" ht="24.75" customHeight="1" thickBot="1" x14ac:dyDescent="0.35">
      <c r="B7" s="139"/>
      <c r="C7" s="456"/>
      <c r="D7" s="469"/>
      <c r="E7" s="5"/>
      <c r="F7" s="36"/>
    </row>
    <row r="8" spans="2:6" ht="33.75" customHeight="1" thickBot="1" x14ac:dyDescent="0.35">
      <c r="B8" s="463" t="s">
        <v>241</v>
      </c>
      <c r="C8" s="464" t="s">
        <v>258</v>
      </c>
      <c r="D8" s="35"/>
      <c r="E8" s="5"/>
      <c r="F8" s="36"/>
    </row>
    <row r="9" spans="2:6" ht="36.75" customHeight="1" x14ac:dyDescent="0.4">
      <c r="B9" s="465" t="s">
        <v>879</v>
      </c>
      <c r="C9" s="466">
        <v>44912.7</v>
      </c>
      <c r="D9" s="467"/>
    </row>
    <row r="10" spans="2:6" ht="33" customHeight="1" x14ac:dyDescent="0.45">
      <c r="B10" s="444" t="s">
        <v>532</v>
      </c>
      <c r="C10" s="445">
        <f>SUM(C9:C9)</f>
        <v>44912.7</v>
      </c>
      <c r="D10" s="33"/>
    </row>
    <row r="11" spans="2:6" ht="24.75" customHeight="1" thickBot="1" x14ac:dyDescent="0.3">
      <c r="B11" s="161"/>
      <c r="C11" s="435"/>
      <c r="D11" s="33"/>
    </row>
    <row r="12" spans="2:6" ht="24.75" customHeight="1" x14ac:dyDescent="0.25">
      <c r="C12" s="291"/>
      <c r="D12" s="33"/>
    </row>
    <row r="13" spans="2:6" ht="24.75" customHeight="1" x14ac:dyDescent="0.25">
      <c r="C13" s="470"/>
      <c r="D13" s="33"/>
    </row>
    <row r="14" spans="2:6" ht="24.75" customHeight="1" x14ac:dyDescent="0.25">
      <c r="D14" s="33"/>
    </row>
    <row r="15" spans="2:6" ht="24.75" customHeight="1" x14ac:dyDescent="0.25">
      <c r="D15" s="33"/>
    </row>
    <row r="16" spans="2:6" ht="24.75" customHeight="1" x14ac:dyDescent="0.25">
      <c r="C16" s="291"/>
      <c r="D16" s="33"/>
    </row>
    <row r="17" spans="2:4" ht="24.75" customHeight="1" x14ac:dyDescent="0.25">
      <c r="C17" s="291"/>
      <c r="D17" s="33"/>
    </row>
    <row r="18" spans="2:4" ht="24.75" customHeight="1" x14ac:dyDescent="0.25">
      <c r="C18" s="291"/>
      <c r="D18" s="33"/>
    </row>
    <row r="19" spans="2:4" ht="24.75" customHeight="1" x14ac:dyDescent="0.25">
      <c r="C19" s="291"/>
      <c r="D19" s="33"/>
    </row>
    <row r="20" spans="2:4" ht="24.75" customHeight="1" x14ac:dyDescent="0.25">
      <c r="C20" s="291"/>
      <c r="D20" s="33"/>
    </row>
    <row r="21" spans="2:4" ht="24.75" customHeight="1" x14ac:dyDescent="0.25">
      <c r="C21" s="291"/>
      <c r="D21" s="33"/>
    </row>
    <row r="22" spans="2:4" ht="24.75" customHeight="1" x14ac:dyDescent="0.25">
      <c r="C22" s="291"/>
      <c r="D22" s="33"/>
    </row>
    <row r="23" spans="2:4" ht="24.75" customHeight="1" x14ac:dyDescent="0.25">
      <c r="C23" s="291"/>
      <c r="D23" s="33"/>
    </row>
    <row r="24" spans="2:4" ht="24.75" customHeight="1" x14ac:dyDescent="0.25">
      <c r="C24" s="291"/>
      <c r="D24" s="33"/>
    </row>
    <row r="25" spans="2:4" ht="24.75" customHeight="1" x14ac:dyDescent="0.25">
      <c r="C25" s="291"/>
      <c r="D25" s="33"/>
    </row>
    <row r="26" spans="2:4" ht="24.75" customHeight="1" x14ac:dyDescent="0.25">
      <c r="C26" s="291"/>
      <c r="D26" s="33"/>
    </row>
    <row r="27" spans="2:4" ht="24.75" customHeight="1" x14ac:dyDescent="0.25">
      <c r="C27" s="291"/>
      <c r="D27" s="33"/>
    </row>
    <row r="28" spans="2:4" ht="24.75" customHeight="1" x14ac:dyDescent="0.25">
      <c r="C28" s="291"/>
      <c r="D28" s="33"/>
    </row>
    <row r="32" spans="2:4" ht="24.75" customHeight="1" x14ac:dyDescent="0.3">
      <c r="B32" s="585" t="str">
        <f>+B3</f>
        <v>NOTA 10</v>
      </c>
      <c r="C32" s="585"/>
    </row>
    <row r="33" spans="2:3" ht="24.75" customHeight="1" x14ac:dyDescent="0.3">
      <c r="B33" s="585" t="str">
        <f>+B4</f>
        <v>Cédula de detalle de cuentas</v>
      </c>
      <c r="C33" s="585"/>
    </row>
    <row r="34" spans="2:3" ht="24.75" customHeight="1" x14ac:dyDescent="0.3">
      <c r="B34" s="585" t="s">
        <v>531</v>
      </c>
      <c r="C34" s="585"/>
    </row>
    <row r="35" spans="2:3" ht="24.75" customHeight="1" x14ac:dyDescent="0.3">
      <c r="B35" s="595">
        <v>45838</v>
      </c>
      <c r="C35" s="595"/>
    </row>
    <row r="36" spans="2:3" ht="24.75" customHeight="1" thickBot="1" x14ac:dyDescent="0.3"/>
    <row r="37" spans="2:3" ht="24.75" customHeight="1" thickBot="1" x14ac:dyDescent="0.3">
      <c r="B37" s="463" t="s">
        <v>241</v>
      </c>
      <c r="C37" s="464" t="s">
        <v>258</v>
      </c>
    </row>
    <row r="38" spans="2:3" ht="30" customHeight="1" x14ac:dyDescent="0.25">
      <c r="B38" s="438" t="s">
        <v>880</v>
      </c>
      <c r="C38" s="147">
        <v>21312.7</v>
      </c>
    </row>
    <row r="39" spans="2:3" ht="30" customHeight="1" x14ac:dyDescent="0.4">
      <c r="B39" s="438" t="s">
        <v>534</v>
      </c>
      <c r="C39" s="426">
        <v>23600</v>
      </c>
    </row>
    <row r="40" spans="2:3" ht="30" hidden="1" customHeight="1" x14ac:dyDescent="0.4">
      <c r="B40" s="438" t="s">
        <v>535</v>
      </c>
      <c r="C40" s="426"/>
    </row>
    <row r="41" spans="2:3" ht="29.25" customHeight="1" x14ac:dyDescent="0.45">
      <c r="B41" s="468" t="s">
        <v>481</v>
      </c>
      <c r="C41" s="445">
        <f>SUM(C38:C40)</f>
        <v>44912.7</v>
      </c>
    </row>
    <row r="42" spans="2:3" ht="24.75" customHeight="1" thickBot="1" x14ac:dyDescent="0.3">
      <c r="B42" s="161"/>
      <c r="C42" s="435"/>
    </row>
    <row r="43" spans="2:3" ht="24.75" customHeight="1" x14ac:dyDescent="0.25">
      <c r="B43" s="471"/>
      <c r="C43" s="25">
        <f>+C10-C41</f>
        <v>0</v>
      </c>
    </row>
  </sheetData>
  <mergeCells count="8">
    <mergeCell ref="B32:C32"/>
    <mergeCell ref="B33:C33"/>
    <mergeCell ref="B34:C34"/>
    <mergeCell ref="B35:C35"/>
    <mergeCell ref="B3:C3"/>
    <mergeCell ref="B4:C4"/>
    <mergeCell ref="B5:C5"/>
    <mergeCell ref="B6:C6"/>
  </mergeCells>
  <pageMargins left="0.53" right="0.31496062992125984" top="0.74803149606299213" bottom="0.74803149606299213" header="0.31496062992125984" footer="0.31496062992125984"/>
  <pageSetup scale="94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0"/>
  <sheetViews>
    <sheetView view="pageBreakPreview" topLeftCell="A28" zoomScale="90" zoomScaleNormal="100" zoomScaleSheetLayoutView="90" workbookViewId="0">
      <selection activeCell="A39" sqref="A39"/>
    </sheetView>
  </sheetViews>
  <sheetFormatPr baseColWidth="10" defaultColWidth="9.109375" defaultRowHeight="24.75" customHeight="1" x14ac:dyDescent="0.25"/>
  <cols>
    <col min="1" max="1" width="57.5546875" style="4" customWidth="1"/>
    <col min="2" max="2" width="21.33203125" style="4" customWidth="1"/>
    <col min="3" max="3" width="23.6640625" style="4" bestFit="1" customWidth="1"/>
    <col min="4" max="4" width="17.33203125" style="4" bestFit="1" customWidth="1"/>
    <col min="5" max="6" width="12.5546875" style="4" bestFit="1" customWidth="1"/>
    <col min="7" max="7" width="2.109375" style="4" bestFit="1" customWidth="1"/>
    <col min="8" max="8" width="14.33203125" style="4" bestFit="1" customWidth="1"/>
    <col min="9" max="16384" width="9.109375" style="4"/>
  </cols>
  <sheetData>
    <row r="1" spans="1:4" ht="24.75" customHeight="1" x14ac:dyDescent="0.25">
      <c r="B1" s="36"/>
    </row>
    <row r="2" spans="1:4" ht="24.75" customHeight="1" x14ac:dyDescent="0.25">
      <c r="B2" s="457"/>
    </row>
    <row r="3" spans="1:4" ht="24.75" customHeight="1" x14ac:dyDescent="0.3">
      <c r="A3" s="585" t="s">
        <v>536</v>
      </c>
      <c r="B3" s="585"/>
    </row>
    <row r="4" spans="1:4" ht="24.75" customHeight="1" x14ac:dyDescent="0.3">
      <c r="A4" s="585" t="s">
        <v>255</v>
      </c>
      <c r="B4" s="585"/>
    </row>
    <row r="5" spans="1:4" ht="24.75" customHeight="1" x14ac:dyDescent="0.3">
      <c r="A5" s="585" t="s">
        <v>25</v>
      </c>
      <c r="B5" s="585"/>
    </row>
    <row r="6" spans="1:4" ht="24.75" customHeight="1" x14ac:dyDescent="0.3">
      <c r="A6" s="595">
        <v>45838</v>
      </c>
      <c r="B6" s="595"/>
    </row>
    <row r="7" spans="1:4" ht="24.75" customHeight="1" thickBot="1" x14ac:dyDescent="0.35">
      <c r="A7" s="139"/>
      <c r="B7" s="472"/>
    </row>
    <row r="8" spans="1:4" ht="24.75" customHeight="1" thickBot="1" x14ac:dyDescent="0.35">
      <c r="A8" s="141" t="s">
        <v>241</v>
      </c>
      <c r="B8" s="143" t="s">
        <v>258</v>
      </c>
    </row>
    <row r="9" spans="1:4" ht="24.75" customHeight="1" x14ac:dyDescent="0.25">
      <c r="A9" s="128" t="s">
        <v>537</v>
      </c>
      <c r="B9" s="473">
        <v>498285.66</v>
      </c>
      <c r="D9" s="483"/>
    </row>
    <row r="10" spans="1:4" ht="24.75" customHeight="1" x14ac:dyDescent="0.25">
      <c r="A10" s="149" t="s">
        <v>538</v>
      </c>
      <c r="B10" s="473">
        <v>18328057.390000001</v>
      </c>
    </row>
    <row r="11" spans="1:4" ht="26.25" customHeight="1" x14ac:dyDescent="0.25">
      <c r="A11" s="149" t="s">
        <v>539</v>
      </c>
      <c r="B11" s="473">
        <v>19279.259999999998</v>
      </c>
    </row>
    <row r="12" spans="1:4" ht="24.75" customHeight="1" x14ac:dyDescent="0.25">
      <c r="A12" s="149" t="s">
        <v>540</v>
      </c>
      <c r="B12" s="474">
        <v>3756813.18</v>
      </c>
    </row>
    <row r="13" spans="1:4" ht="24.75" customHeight="1" x14ac:dyDescent="0.4">
      <c r="A13" s="149" t="s">
        <v>541</v>
      </c>
      <c r="B13" s="475">
        <v>4858828.91</v>
      </c>
    </row>
    <row r="14" spans="1:4" ht="24.75" customHeight="1" x14ac:dyDescent="0.45">
      <c r="A14" s="476" t="s">
        <v>274</v>
      </c>
      <c r="B14" s="351">
        <f>SUM(B9:B13)</f>
        <v>27461264.400000002</v>
      </c>
    </row>
    <row r="15" spans="1:4" ht="24.75" customHeight="1" thickBot="1" x14ac:dyDescent="0.3">
      <c r="A15" s="477"/>
      <c r="B15" s="352"/>
    </row>
    <row r="16" spans="1:4" ht="24.75" customHeight="1" x14ac:dyDescent="0.25">
      <c r="B16" s="36"/>
    </row>
    <row r="17" spans="1:3" ht="24.75" customHeight="1" x14ac:dyDescent="0.25">
      <c r="B17" s="36"/>
      <c r="C17" s="36"/>
    </row>
    <row r="18" spans="1:3" ht="24.75" customHeight="1" x14ac:dyDescent="0.25">
      <c r="B18" s="51"/>
    </row>
    <row r="19" spans="1:3" ht="24.75" customHeight="1" x14ac:dyDescent="0.25">
      <c r="B19" s="36"/>
    </row>
    <row r="20" spans="1:3" ht="24.75" customHeight="1" x14ac:dyDescent="0.25">
      <c r="B20" s="36"/>
    </row>
    <row r="21" spans="1:3" ht="24.75" customHeight="1" x14ac:dyDescent="0.25">
      <c r="B21" s="36"/>
    </row>
    <row r="22" spans="1:3" ht="24.75" customHeight="1" x14ac:dyDescent="0.25">
      <c r="B22" s="36"/>
    </row>
    <row r="23" spans="1:3" ht="24.75" customHeight="1" x14ac:dyDescent="0.25">
      <c r="B23" s="36"/>
    </row>
    <row r="24" spans="1:3" ht="24.75" customHeight="1" x14ac:dyDescent="0.25">
      <c r="B24" s="36"/>
    </row>
    <row r="25" spans="1:3" ht="24.75" customHeight="1" x14ac:dyDescent="0.25">
      <c r="B25" s="36"/>
    </row>
    <row r="26" spans="1:3" ht="24.75" customHeight="1" x14ac:dyDescent="0.25">
      <c r="B26" s="36"/>
    </row>
    <row r="27" spans="1:3" ht="24.75" customHeight="1" x14ac:dyDescent="0.3">
      <c r="A27" s="47"/>
      <c r="B27" s="47"/>
    </row>
    <row r="28" spans="1:3" ht="24.75" customHeight="1" x14ac:dyDescent="0.3">
      <c r="A28" s="47"/>
      <c r="B28" s="47"/>
    </row>
    <row r="29" spans="1:3" ht="24.75" customHeight="1" x14ac:dyDescent="0.3">
      <c r="A29" s="47"/>
      <c r="B29" s="47"/>
    </row>
    <row r="30" spans="1:3" ht="24.75" customHeight="1" x14ac:dyDescent="0.3">
      <c r="A30" s="47"/>
      <c r="B30" s="47"/>
    </row>
    <row r="31" spans="1:3" ht="24.75" customHeight="1" x14ac:dyDescent="0.3">
      <c r="A31" s="47"/>
      <c r="B31" s="47"/>
    </row>
    <row r="32" spans="1:3" ht="24.75" customHeight="1" x14ac:dyDescent="0.3">
      <c r="A32" s="47"/>
      <c r="B32" s="47"/>
    </row>
    <row r="33" spans="1:6" ht="24.75" customHeight="1" x14ac:dyDescent="0.3">
      <c r="A33" s="47"/>
      <c r="B33" s="47"/>
    </row>
    <row r="34" spans="1:6" ht="24.75" customHeight="1" x14ac:dyDescent="0.3">
      <c r="A34" s="47"/>
      <c r="B34" s="47"/>
    </row>
    <row r="35" spans="1:6" ht="24.75" customHeight="1" x14ac:dyDescent="0.3">
      <c r="A35" s="585" t="str">
        <f>+A3</f>
        <v>NOTA 11</v>
      </c>
      <c r="B35" s="585"/>
    </row>
    <row r="36" spans="1:6" ht="24.75" customHeight="1" x14ac:dyDescent="0.3">
      <c r="A36" s="585" t="str">
        <f>+A4</f>
        <v>Cédula de detalle de cuentas</v>
      </c>
      <c r="B36" s="585"/>
      <c r="C36" s="478"/>
    </row>
    <row r="37" spans="1:6" ht="24.75" customHeight="1" x14ac:dyDescent="0.3">
      <c r="A37" s="585" t="s">
        <v>542</v>
      </c>
      <c r="B37" s="585"/>
    </row>
    <row r="38" spans="1:6" ht="24.75" customHeight="1" x14ac:dyDescent="0.3">
      <c r="A38" s="595">
        <f>+A6</f>
        <v>45838</v>
      </c>
      <c r="B38" s="595"/>
    </row>
    <row r="39" spans="1:6" ht="24.75" customHeight="1" thickBot="1" x14ac:dyDescent="0.35">
      <c r="A39" s="139"/>
      <c r="B39" s="35"/>
    </row>
    <row r="40" spans="1:6" ht="24.75" customHeight="1" thickBot="1" x14ac:dyDescent="0.35">
      <c r="A40" s="141" t="s">
        <v>241</v>
      </c>
      <c r="B40" s="143" t="s">
        <v>258</v>
      </c>
      <c r="D40" s="484"/>
    </row>
    <row r="41" spans="1:6" ht="24.75" customHeight="1" x14ac:dyDescent="0.25">
      <c r="A41" s="145" t="s">
        <v>875</v>
      </c>
      <c r="B41" s="479">
        <f>54230.99-6205.33</f>
        <v>48025.659999999996</v>
      </c>
      <c r="D41" s="484"/>
    </row>
    <row r="42" spans="1:6" ht="40.5" customHeight="1" x14ac:dyDescent="0.25">
      <c r="A42" s="480" t="s">
        <v>878</v>
      </c>
      <c r="B42" s="479">
        <v>7600</v>
      </c>
      <c r="D42" s="485"/>
      <c r="F42" s="32"/>
    </row>
    <row r="43" spans="1:6" ht="40.5" hidden="1" customHeight="1" x14ac:dyDescent="0.25">
      <c r="A43" s="480" t="s">
        <v>543</v>
      </c>
      <c r="B43" s="479"/>
      <c r="D43" s="485"/>
    </row>
    <row r="44" spans="1:6" ht="33.75" customHeight="1" x14ac:dyDescent="0.25">
      <c r="A44" s="480" t="s">
        <v>876</v>
      </c>
      <c r="B44" s="479">
        <v>62920</v>
      </c>
      <c r="D44" s="485"/>
    </row>
    <row r="45" spans="1:6" ht="33.75" hidden="1" customHeight="1" x14ac:dyDescent="0.25">
      <c r="A45" s="480" t="s">
        <v>544</v>
      </c>
      <c r="B45" s="479"/>
    </row>
    <row r="46" spans="1:6" ht="36.75" customHeight="1" x14ac:dyDescent="0.4">
      <c r="A46" s="480" t="s">
        <v>877</v>
      </c>
      <c r="B46" s="481">
        <v>379740</v>
      </c>
      <c r="D46" s="486"/>
    </row>
    <row r="47" spans="1:6" ht="24.75" customHeight="1" x14ac:dyDescent="0.45">
      <c r="A47" s="149"/>
      <c r="B47" s="445">
        <f>SUM(B41:B46)</f>
        <v>498285.66000000003</v>
      </c>
      <c r="D47" s="486"/>
    </row>
    <row r="48" spans="1:6" ht="24.75" customHeight="1" thickBot="1" x14ac:dyDescent="0.3">
      <c r="A48" s="161"/>
      <c r="B48" s="482">
        <f>+B9-B47</f>
        <v>0</v>
      </c>
      <c r="D48" s="486"/>
    </row>
    <row r="49" spans="1:4" ht="24.75" customHeight="1" x14ac:dyDescent="0.25">
      <c r="B49" s="36"/>
      <c r="D49" s="486"/>
    </row>
    <row r="50" spans="1:4" ht="24.75" customHeight="1" x14ac:dyDescent="0.25">
      <c r="B50" s="36">
        <v>498285.66</v>
      </c>
      <c r="D50" s="486"/>
    </row>
    <row r="51" spans="1:4" ht="24.75" customHeight="1" x14ac:dyDescent="0.25">
      <c r="A51" s="486"/>
      <c r="B51" s="36"/>
      <c r="D51" s="486"/>
    </row>
    <row r="52" spans="1:4" ht="24.75" customHeight="1" x14ac:dyDescent="0.25">
      <c r="B52" s="36">
        <f>+B47-B50</f>
        <v>0</v>
      </c>
      <c r="D52" s="486"/>
    </row>
    <row r="53" spans="1:4" ht="24.75" customHeight="1" x14ac:dyDescent="0.25">
      <c r="B53" s="36"/>
    </row>
    <row r="54" spans="1:4" ht="24.75" customHeight="1" x14ac:dyDescent="0.25">
      <c r="B54" s="36"/>
    </row>
    <row r="55" spans="1:4" ht="24.75" customHeight="1" x14ac:dyDescent="0.25">
      <c r="B55" s="36"/>
    </row>
    <row r="56" spans="1:4" ht="24.75" customHeight="1" x14ac:dyDescent="0.25">
      <c r="B56" s="36"/>
    </row>
    <row r="57" spans="1:4" ht="24.75" customHeight="1" x14ac:dyDescent="0.25">
      <c r="B57" s="36"/>
    </row>
    <row r="58" spans="1:4" ht="24.75" customHeight="1" x14ac:dyDescent="0.25">
      <c r="B58" s="36"/>
    </row>
    <row r="59" spans="1:4" ht="24.75" customHeight="1" x14ac:dyDescent="0.25">
      <c r="B59" s="36"/>
    </row>
    <row r="60" spans="1:4" ht="24.75" customHeight="1" x14ac:dyDescent="0.25">
      <c r="B60" s="36"/>
    </row>
  </sheetData>
  <mergeCells count="8">
    <mergeCell ref="A37:B37"/>
    <mergeCell ref="A38:B38"/>
    <mergeCell ref="A36:B36"/>
    <mergeCell ref="A3:B3"/>
    <mergeCell ref="A4:B4"/>
    <mergeCell ref="A5:B5"/>
    <mergeCell ref="A6:B6"/>
    <mergeCell ref="A35:B35"/>
  </mergeCells>
  <phoneticPr fontId="62" type="noConversion"/>
  <printOptions horizontalCentered="1"/>
  <pageMargins left="0.51181102362204722" right="0.31496062992125984" top="0.74803149606299213" bottom="0.74803149606299213" header="0.31496062992125984" footer="0.31496062992125984"/>
  <pageSetup scale="94" orientation="portrait" r:id="rId1"/>
  <rowBreaks count="1" manualBreakCount="1">
    <brk id="60" max="2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5:N48"/>
  <sheetViews>
    <sheetView topLeftCell="A18" workbookViewId="0">
      <selection activeCell="G32" sqref="G32"/>
    </sheetView>
  </sheetViews>
  <sheetFormatPr baseColWidth="10" defaultColWidth="11.44140625" defaultRowHeight="15" x14ac:dyDescent="0.25"/>
  <cols>
    <col min="1" max="1" width="4.88671875" style="4" customWidth="1"/>
    <col min="2" max="2" width="50.109375" style="4" customWidth="1"/>
    <col min="3" max="3" width="21" style="4" customWidth="1"/>
    <col min="4" max="4" width="25.33203125" style="4" customWidth="1"/>
    <col min="5" max="5" width="17.33203125" style="4" bestFit="1" customWidth="1"/>
    <col min="6" max="6" width="4.33203125" style="4" customWidth="1"/>
    <col min="7" max="7" width="29" style="4" bestFit="1" customWidth="1"/>
    <col min="8" max="8" width="16.44140625" style="4" bestFit="1" customWidth="1"/>
    <col min="9" max="9" width="16" style="4" bestFit="1" customWidth="1"/>
    <col min="10" max="10" width="15.88671875" style="4" bestFit="1" customWidth="1"/>
    <col min="11" max="11" width="16" style="4" bestFit="1" customWidth="1"/>
    <col min="12" max="12" width="15.6640625" style="4" bestFit="1" customWidth="1"/>
    <col min="13" max="13" width="15.88671875" style="4" bestFit="1" customWidth="1"/>
    <col min="14" max="16384" width="11.44140625" style="4"/>
  </cols>
  <sheetData>
    <row r="5" spans="1:4" s="47" customFormat="1" ht="20.25" customHeight="1" x14ac:dyDescent="0.3">
      <c r="A5" s="14" t="s">
        <v>545</v>
      </c>
    </row>
    <row r="6" spans="1:4" s="47" customFormat="1" ht="20.25" customHeight="1" x14ac:dyDescent="0.3">
      <c r="A6" s="47" t="s">
        <v>693</v>
      </c>
    </row>
    <row r="7" spans="1:4" ht="15.6" thickBot="1" x14ac:dyDescent="0.3"/>
    <row r="8" spans="1:4" ht="22.5" customHeight="1" thickBot="1" x14ac:dyDescent="0.3">
      <c r="A8" s="518" t="s">
        <v>546</v>
      </c>
      <c r="B8" s="519" t="s">
        <v>547</v>
      </c>
      <c r="C8" s="519" t="s">
        <v>548</v>
      </c>
      <c r="D8" s="572" t="s">
        <v>895</v>
      </c>
    </row>
    <row r="9" spans="1:4" x14ac:dyDescent="0.25">
      <c r="A9" s="488">
        <v>1</v>
      </c>
      <c r="B9" s="489" t="s">
        <v>550</v>
      </c>
      <c r="C9" s="490">
        <v>8399520</v>
      </c>
      <c r="D9" s="491">
        <v>8399520</v>
      </c>
    </row>
    <row r="10" spans="1:4" x14ac:dyDescent="0.25">
      <c r="A10" s="243">
        <v>2</v>
      </c>
      <c r="B10" s="243" t="s">
        <v>701</v>
      </c>
      <c r="C10" s="492">
        <v>35000</v>
      </c>
      <c r="D10" s="493">
        <v>35000</v>
      </c>
    </row>
    <row r="11" spans="1:4" x14ac:dyDescent="0.25">
      <c r="A11" s="494">
        <v>3</v>
      </c>
      <c r="B11" s="243" t="s">
        <v>702</v>
      </c>
      <c r="C11" s="492">
        <v>740000</v>
      </c>
      <c r="D11" s="493">
        <v>740000</v>
      </c>
    </row>
    <row r="12" spans="1:4" x14ac:dyDescent="0.25">
      <c r="A12" s="243">
        <v>4</v>
      </c>
      <c r="B12" s="243" t="s">
        <v>703</v>
      </c>
      <c r="C12" s="492">
        <v>610000</v>
      </c>
      <c r="D12" s="493">
        <v>610000</v>
      </c>
    </row>
    <row r="13" spans="1:4" x14ac:dyDescent="0.25">
      <c r="A13" s="494">
        <v>5</v>
      </c>
      <c r="B13" s="243" t="s">
        <v>549</v>
      </c>
      <c r="C13" s="492">
        <v>9747380</v>
      </c>
      <c r="D13" s="493">
        <v>9747380</v>
      </c>
    </row>
    <row r="14" spans="1:4" x14ac:dyDescent="0.25">
      <c r="A14" s="243">
        <v>6</v>
      </c>
      <c r="B14" s="243" t="s">
        <v>737</v>
      </c>
      <c r="C14" s="492">
        <v>1247700</v>
      </c>
      <c r="D14" s="493">
        <v>1247700</v>
      </c>
    </row>
    <row r="15" spans="1:4" x14ac:dyDescent="0.25">
      <c r="A15" s="494">
        <v>7</v>
      </c>
      <c r="B15" s="243" t="s">
        <v>704</v>
      </c>
      <c r="C15" s="492">
        <v>8399520</v>
      </c>
      <c r="D15" s="493">
        <f>+C15*3</f>
        <v>25198560</v>
      </c>
    </row>
    <row r="16" spans="1:4" x14ac:dyDescent="0.25">
      <c r="A16" s="243">
        <v>8</v>
      </c>
      <c r="B16" s="495" t="s">
        <v>705</v>
      </c>
      <c r="C16" s="492">
        <v>870000</v>
      </c>
      <c r="D16" s="493">
        <f>+C16*3</f>
        <v>2610000</v>
      </c>
    </row>
    <row r="17" spans="1:14" ht="16.8" x14ac:dyDescent="0.4">
      <c r="A17" s="494">
        <v>9</v>
      </c>
      <c r="B17" s="243" t="s">
        <v>706</v>
      </c>
      <c r="C17" s="492">
        <v>477860</v>
      </c>
      <c r="D17" s="496">
        <f>+C17*3</f>
        <v>1433580</v>
      </c>
    </row>
    <row r="18" spans="1:14" ht="15.6" x14ac:dyDescent="0.3">
      <c r="A18" s="243"/>
      <c r="B18" s="497" t="s">
        <v>551</v>
      </c>
      <c r="C18" s="497"/>
      <c r="D18" s="498">
        <f>SUM(D9:D17)</f>
        <v>50021740</v>
      </c>
    </row>
    <row r="19" spans="1:14" x14ac:dyDescent="0.25">
      <c r="A19" s="243"/>
      <c r="B19" s="218"/>
      <c r="C19" s="218"/>
      <c r="D19" s="218"/>
    </row>
    <row r="20" spans="1:14" x14ac:dyDescent="0.25">
      <c r="A20" s="243"/>
      <c r="B20" s="218"/>
      <c r="C20" s="244" t="s">
        <v>552</v>
      </c>
      <c r="D20" s="499" t="s">
        <v>553</v>
      </c>
    </row>
    <row r="21" spans="1:14" ht="22.5" customHeight="1" x14ac:dyDescent="0.45">
      <c r="A21" s="243"/>
      <c r="B21" s="500" t="s">
        <v>700</v>
      </c>
      <c r="C21" s="501"/>
      <c r="D21" s="502">
        <f>+D18/12</f>
        <v>4168478.3333333335</v>
      </c>
    </row>
    <row r="22" spans="1:14" x14ac:dyDescent="0.25">
      <c r="A22" s="243"/>
      <c r="B22" s="218"/>
      <c r="C22" s="218"/>
      <c r="D22" s="218"/>
      <c r="E22" s="25"/>
      <c r="I22" s="36"/>
    </row>
    <row r="23" spans="1:14" x14ac:dyDescent="0.25">
      <c r="A23" s="30"/>
      <c r="E23" s="36"/>
      <c r="I23" s="36"/>
      <c r="J23" s="36"/>
      <c r="K23" s="36"/>
      <c r="L23" s="36"/>
      <c r="M23" s="36"/>
      <c r="N23" s="36"/>
    </row>
    <row r="24" spans="1:14" x14ac:dyDescent="0.25">
      <c r="A24" s="30"/>
      <c r="E24" s="32"/>
      <c r="I24" s="36"/>
      <c r="J24" s="36"/>
      <c r="K24" s="36"/>
      <c r="L24" s="36"/>
      <c r="M24" s="36"/>
      <c r="N24" s="36"/>
    </row>
    <row r="25" spans="1:14" ht="15.6" x14ac:dyDescent="0.3">
      <c r="A25" s="30"/>
      <c r="G25" s="240"/>
      <c r="I25" s="36"/>
      <c r="J25" s="36"/>
      <c r="K25" s="36"/>
      <c r="L25" s="36"/>
      <c r="M25" s="36"/>
      <c r="N25" s="36"/>
    </row>
    <row r="26" spans="1:14" ht="15.6" thickBot="1" x14ac:dyDescent="0.3">
      <c r="A26" s="30"/>
      <c r="I26" s="36"/>
      <c r="J26" s="36"/>
      <c r="K26" s="36"/>
      <c r="L26" s="36"/>
      <c r="M26" s="36"/>
      <c r="N26" s="36"/>
    </row>
    <row r="27" spans="1:14" ht="16.2" thickBot="1" x14ac:dyDescent="0.3">
      <c r="A27" s="30"/>
      <c r="B27" s="573" t="s">
        <v>735</v>
      </c>
      <c r="C27" s="574" t="s">
        <v>258</v>
      </c>
      <c r="D27" s="575" t="s">
        <v>736</v>
      </c>
      <c r="J27" s="36"/>
      <c r="K27" s="36"/>
      <c r="L27" s="36"/>
      <c r="M27" s="36"/>
      <c r="N27" s="36"/>
    </row>
    <row r="28" spans="1:14" x14ac:dyDescent="0.25">
      <c r="A28" s="30"/>
      <c r="B28" s="506">
        <v>45658</v>
      </c>
      <c r="C28" s="507">
        <v>4158693.44</v>
      </c>
      <c r="D28" s="507">
        <f>+C28</f>
        <v>4158693.44</v>
      </c>
      <c r="J28" s="36"/>
      <c r="K28" s="36"/>
      <c r="L28" s="36"/>
      <c r="M28" s="36"/>
      <c r="N28" s="36"/>
    </row>
    <row r="29" spans="1:14" x14ac:dyDescent="0.25">
      <c r="B29" s="508">
        <v>45689</v>
      </c>
      <c r="C29" s="509">
        <v>4178263.23</v>
      </c>
      <c r="D29" s="3">
        <f>+D28+C29</f>
        <v>8336956.6699999999</v>
      </c>
      <c r="J29" s="36"/>
      <c r="K29" s="36"/>
      <c r="L29" s="36"/>
      <c r="M29" s="36"/>
      <c r="N29" s="36"/>
    </row>
    <row r="30" spans="1:14" x14ac:dyDescent="0.25">
      <c r="B30" s="508">
        <v>45717</v>
      </c>
      <c r="C30" s="509">
        <v>4168478.33</v>
      </c>
      <c r="D30" s="3">
        <f>+D29+C30</f>
        <v>12505435</v>
      </c>
      <c r="E30" s="25"/>
      <c r="I30" s="36"/>
      <c r="J30" s="36"/>
      <c r="K30" s="36"/>
      <c r="L30" s="36"/>
      <c r="M30" s="36"/>
      <c r="N30" s="36"/>
    </row>
    <row r="31" spans="1:14" x14ac:dyDescent="0.25">
      <c r="B31" s="508">
        <v>45748</v>
      </c>
      <c r="C31" s="509">
        <v>4168478.33</v>
      </c>
      <c r="D31" s="507">
        <f>+D30+C31</f>
        <v>16673913.33</v>
      </c>
      <c r="E31" s="25"/>
    </row>
    <row r="32" spans="1:14" x14ac:dyDescent="0.25">
      <c r="B32" s="508">
        <v>45778</v>
      </c>
      <c r="C32" s="509">
        <v>4168478.33</v>
      </c>
      <c r="D32" s="507">
        <f>+D31+C32</f>
        <v>20842391.66</v>
      </c>
      <c r="E32" s="25"/>
    </row>
    <row r="33" spans="2:5" x14ac:dyDescent="0.25">
      <c r="B33" s="510">
        <v>45809</v>
      </c>
      <c r="C33" s="511">
        <v>4168478.33</v>
      </c>
      <c r="D33" s="512">
        <f>+D32+C33</f>
        <v>25010869.990000002</v>
      </c>
    </row>
    <row r="34" spans="2:5" hidden="1" x14ac:dyDescent="0.25">
      <c r="B34" s="508">
        <v>45839</v>
      </c>
      <c r="C34" s="218"/>
      <c r="D34" s="507">
        <f t="shared" ref="D34:D39" si="0">+C34</f>
        <v>0</v>
      </c>
    </row>
    <row r="35" spans="2:5" hidden="1" x14ac:dyDescent="0.25">
      <c r="B35" s="508">
        <v>45870</v>
      </c>
      <c r="C35" s="218"/>
      <c r="D35" s="507">
        <f t="shared" si="0"/>
        <v>0</v>
      </c>
      <c r="E35" s="25"/>
    </row>
    <row r="36" spans="2:5" hidden="1" x14ac:dyDescent="0.25">
      <c r="B36" s="508">
        <v>45901</v>
      </c>
      <c r="C36" s="218"/>
      <c r="D36" s="507">
        <f t="shared" si="0"/>
        <v>0</v>
      </c>
    </row>
    <row r="37" spans="2:5" hidden="1" x14ac:dyDescent="0.25">
      <c r="B37" s="508">
        <v>45931</v>
      </c>
      <c r="C37" s="218"/>
      <c r="D37" s="507">
        <f t="shared" si="0"/>
        <v>0</v>
      </c>
    </row>
    <row r="38" spans="2:5" hidden="1" x14ac:dyDescent="0.25">
      <c r="B38" s="508">
        <v>45962</v>
      </c>
      <c r="C38" s="218"/>
      <c r="D38" s="507">
        <f t="shared" si="0"/>
        <v>0</v>
      </c>
    </row>
    <row r="39" spans="2:5" hidden="1" x14ac:dyDescent="0.25">
      <c r="B39" s="508">
        <v>45992</v>
      </c>
      <c r="C39" s="218"/>
      <c r="D39" s="507">
        <f t="shared" si="0"/>
        <v>0</v>
      </c>
    </row>
    <row r="40" spans="2:5" hidden="1" x14ac:dyDescent="0.25">
      <c r="B40" s="218"/>
      <c r="C40" s="218"/>
      <c r="D40" s="218"/>
    </row>
    <row r="41" spans="2:5" ht="16.2" thickBot="1" x14ac:dyDescent="0.35">
      <c r="B41" s="513"/>
      <c r="C41" s="344">
        <f>SUM(C28:C40)</f>
        <v>25010869.990000002</v>
      </c>
    </row>
    <row r="42" spans="2:5" ht="15.6" thickTop="1" x14ac:dyDescent="0.25"/>
    <row r="45" spans="2:5" x14ac:dyDescent="0.25">
      <c r="B45" s="4" t="s">
        <v>571</v>
      </c>
      <c r="C45" s="323">
        <f>+D21</f>
        <v>4168478.3333333335</v>
      </c>
    </row>
    <row r="46" spans="2:5" x14ac:dyDescent="0.25">
      <c r="B46" s="30" t="s">
        <v>839</v>
      </c>
      <c r="C46" s="323">
        <v>617563.21</v>
      </c>
    </row>
    <row r="47" spans="2:5" ht="16.2" thickBot="1" x14ac:dyDescent="0.35">
      <c r="B47" s="240" t="s">
        <v>699</v>
      </c>
      <c r="C47" s="514">
        <f>+C45-C46</f>
        <v>3550915.1233333335</v>
      </c>
    </row>
    <row r="48" spans="2:5" ht="15.6" thickTop="1" x14ac:dyDescent="0.25"/>
  </sheetData>
  <phoneticPr fontId="62" type="noConversion"/>
  <pageMargins left="0.70866141732283472" right="0.70866141732283472" top="0.74803149606299213" bottom="0.74803149606299213" header="0.31496062992125984" footer="0.31496062992125984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B1:I276"/>
  <sheetViews>
    <sheetView topLeftCell="A144" zoomScaleNormal="100" zoomScaleSheetLayoutView="80" workbookViewId="0">
      <selection activeCell="D165" sqref="D165"/>
    </sheetView>
  </sheetViews>
  <sheetFormatPr baseColWidth="10" defaultColWidth="11.5546875" defaultRowHeight="15" x14ac:dyDescent="0.25"/>
  <cols>
    <col min="1" max="1" width="3.6640625" style="4" customWidth="1"/>
    <col min="2" max="2" width="68.109375" style="4" customWidth="1"/>
    <col min="3" max="3" width="12.109375" style="5" customWidth="1"/>
    <col min="4" max="5" width="28.6640625" style="36" customWidth="1"/>
    <col min="6" max="6" width="24.6640625" style="36" bestFit="1" customWidth="1"/>
    <col min="7" max="7" width="15.44140625" style="4" bestFit="1" customWidth="1"/>
    <col min="8" max="8" width="20.33203125" style="36" bestFit="1" customWidth="1"/>
    <col min="9" max="9" width="11.5546875" style="4"/>
    <col min="10" max="10" width="21.5546875" style="4" bestFit="1" customWidth="1"/>
    <col min="11" max="16384" width="11.5546875" style="4"/>
  </cols>
  <sheetData>
    <row r="1" spans="2:6" x14ac:dyDescent="0.25">
      <c r="B1" s="100"/>
      <c r="C1" s="101"/>
      <c r="D1" s="13"/>
      <c r="E1" s="13"/>
      <c r="F1" s="13"/>
    </row>
    <row r="2" spans="2:6" x14ac:dyDescent="0.25">
      <c r="D2" s="4"/>
      <c r="E2" s="4"/>
      <c r="F2" s="4"/>
    </row>
    <row r="3" spans="2:6" x14ac:dyDescent="0.25">
      <c r="D3" s="4"/>
      <c r="E3" s="4"/>
      <c r="F3" s="4"/>
    </row>
    <row r="4" spans="2:6" x14ac:dyDescent="0.25">
      <c r="D4" s="4"/>
      <c r="E4" s="4"/>
      <c r="F4" s="4"/>
    </row>
    <row r="5" spans="2:6" x14ac:dyDescent="0.25">
      <c r="D5" s="4"/>
      <c r="E5" s="4"/>
      <c r="F5" s="4"/>
    </row>
    <row r="6" spans="2:6" ht="24.75" customHeight="1" x14ac:dyDescent="0.3">
      <c r="B6" s="47" t="s">
        <v>63</v>
      </c>
      <c r="C6" s="35"/>
      <c r="D6" s="47"/>
      <c r="E6" s="47"/>
      <c r="F6" s="47"/>
    </row>
    <row r="7" spans="2:6" ht="24.75" customHeight="1" x14ac:dyDescent="0.3">
      <c r="B7" s="7" t="s">
        <v>835</v>
      </c>
      <c r="C7" s="35"/>
      <c r="D7" s="47"/>
      <c r="E7" s="47"/>
      <c r="F7" s="47"/>
    </row>
    <row r="8" spans="2:6" ht="24.75" customHeight="1" x14ac:dyDescent="0.3">
      <c r="B8" s="47" t="s">
        <v>64</v>
      </c>
      <c r="C8" s="35"/>
      <c r="D8" s="47"/>
      <c r="E8" s="47"/>
      <c r="F8" s="47"/>
    </row>
    <row r="9" spans="2:6" ht="24.75" customHeight="1" x14ac:dyDescent="0.3">
      <c r="B9" s="47"/>
      <c r="C9" s="102" t="s">
        <v>4</v>
      </c>
      <c r="D9" s="102" t="s">
        <v>5</v>
      </c>
      <c r="E9" s="102" t="s">
        <v>6</v>
      </c>
      <c r="F9" s="102" t="s">
        <v>7</v>
      </c>
    </row>
    <row r="10" spans="2:6" ht="20.100000000000001" customHeight="1" x14ac:dyDescent="0.3">
      <c r="B10" s="47"/>
      <c r="C10" s="35"/>
      <c r="D10" s="47"/>
      <c r="E10" s="47"/>
      <c r="F10" s="47"/>
    </row>
    <row r="11" spans="2:6" ht="20.100000000000001" customHeight="1" x14ac:dyDescent="0.25">
      <c r="D11" s="4"/>
      <c r="E11" s="4"/>
      <c r="F11" s="4"/>
    </row>
    <row r="12" spans="2:6" ht="24.75" customHeight="1" x14ac:dyDescent="0.3">
      <c r="B12" s="47" t="s">
        <v>65</v>
      </c>
      <c r="C12" s="35">
        <v>1</v>
      </c>
      <c r="D12" s="4"/>
      <c r="E12" s="4"/>
      <c r="F12" s="4"/>
    </row>
    <row r="13" spans="2:6" ht="15.75" hidden="1" customHeight="1" x14ac:dyDescent="0.25">
      <c r="B13" s="4" t="s">
        <v>66</v>
      </c>
      <c r="D13" s="6">
        <f>+'Cédula Nota 1'!D9</f>
        <v>0</v>
      </c>
      <c r="E13" s="6">
        <v>0</v>
      </c>
      <c r="F13" s="6">
        <f t="shared" ref="F13:F18" si="0">D13-E13</f>
        <v>0</v>
      </c>
    </row>
    <row r="14" spans="2:6" ht="20.100000000000001" customHeight="1" x14ac:dyDescent="0.25">
      <c r="B14" s="4" t="s">
        <v>67</v>
      </c>
      <c r="D14" s="6">
        <f>+'Cédula Nota 1'!D10</f>
        <v>200000</v>
      </c>
      <c r="E14" s="6">
        <v>200000</v>
      </c>
      <c r="F14" s="6">
        <f t="shared" si="0"/>
        <v>0</v>
      </c>
    </row>
    <row r="15" spans="2:6" ht="20.100000000000001" customHeight="1" x14ac:dyDescent="0.25">
      <c r="B15" s="4" t="s">
        <v>68</v>
      </c>
      <c r="D15" s="6">
        <f>+'Cédula Nota 1'!D11</f>
        <v>406056492.35000002</v>
      </c>
      <c r="E15" s="6">
        <v>421186687.64999998</v>
      </c>
      <c r="F15" s="6">
        <f t="shared" si="0"/>
        <v>-15130195.299999952</v>
      </c>
    </row>
    <row r="16" spans="2:6" ht="20.100000000000001" customHeight="1" x14ac:dyDescent="0.25">
      <c r="B16" s="4" t="s">
        <v>69</v>
      </c>
      <c r="D16" s="6">
        <f>+'Cédula Nota 1'!D12</f>
        <v>46506.34</v>
      </c>
      <c r="E16" s="6">
        <v>46681.34</v>
      </c>
      <c r="F16" s="6">
        <f t="shared" si="0"/>
        <v>-175</v>
      </c>
    </row>
    <row r="17" spans="2:6" ht="20.100000000000001" customHeight="1" x14ac:dyDescent="0.25">
      <c r="B17" s="4" t="s">
        <v>70</v>
      </c>
      <c r="D17" s="6">
        <f>+'Cédula Nota 1'!D13</f>
        <v>17547.310000000001</v>
      </c>
      <c r="E17" s="6">
        <v>17542.84</v>
      </c>
      <c r="F17" s="6">
        <f t="shared" si="0"/>
        <v>4.4700000000011642</v>
      </c>
    </row>
    <row r="18" spans="2:6" ht="20.100000000000001" customHeight="1" x14ac:dyDescent="0.25">
      <c r="B18" s="4" t="s">
        <v>71</v>
      </c>
      <c r="D18" s="6">
        <f>+'Cédula Nota 1'!D14</f>
        <v>1007215.6040000001</v>
      </c>
      <c r="E18" s="6">
        <v>1006959.0159999999</v>
      </c>
      <c r="F18" s="6">
        <f t="shared" si="0"/>
        <v>256.58800000010524</v>
      </c>
    </row>
    <row r="19" spans="2:6" ht="20.100000000000001" customHeight="1" x14ac:dyDescent="0.25">
      <c r="C19" s="20" t="s">
        <v>890</v>
      </c>
      <c r="D19" s="6"/>
      <c r="E19" s="6"/>
      <c r="F19" s="6"/>
    </row>
    <row r="20" spans="2:6" ht="24" customHeight="1" x14ac:dyDescent="0.3">
      <c r="B20" s="47" t="s">
        <v>72</v>
      </c>
      <c r="C20" s="35" t="s">
        <v>73</v>
      </c>
      <c r="D20" s="73">
        <f>SUM(D13:D18)</f>
        <v>407327761.60399997</v>
      </c>
      <c r="E20" s="73">
        <f t="shared" ref="E20:F20" si="1">SUM(E13:E18)</f>
        <v>422457870.8459999</v>
      </c>
      <c r="F20" s="73">
        <f t="shared" si="1"/>
        <v>-15130109.241999952</v>
      </c>
    </row>
    <row r="21" spans="2:6" ht="20.100000000000001" customHeight="1" x14ac:dyDescent="0.25">
      <c r="C21" s="5" t="s">
        <v>73</v>
      </c>
      <c r="D21" s="6"/>
      <c r="E21" s="6"/>
      <c r="F21" s="6"/>
    </row>
    <row r="22" spans="2:6" ht="20.100000000000001" customHeight="1" x14ac:dyDescent="0.25">
      <c r="C22" s="5" t="s">
        <v>73</v>
      </c>
      <c r="D22" s="6"/>
      <c r="E22" s="6"/>
      <c r="F22" s="6"/>
    </row>
    <row r="23" spans="2:6" ht="24.75" customHeight="1" x14ac:dyDescent="0.3">
      <c r="B23" s="47" t="s">
        <v>828</v>
      </c>
      <c r="C23" s="35">
        <v>2</v>
      </c>
      <c r="D23" s="4"/>
      <c r="E23" s="4"/>
      <c r="F23" s="4"/>
    </row>
    <row r="24" spans="2:6" ht="21" customHeight="1" x14ac:dyDescent="0.25">
      <c r="B24" s="4" t="s">
        <v>720</v>
      </c>
      <c r="C24" s="5" t="s">
        <v>73</v>
      </c>
      <c r="D24" s="6">
        <f>+'Cédula Nota 2 '!E12</f>
        <v>1181200595.27</v>
      </c>
      <c r="E24" s="6">
        <v>1170441062.6800001</v>
      </c>
      <c r="F24" s="6">
        <f t="shared" ref="F24" si="2">D24-E24</f>
        <v>10759532.589999914</v>
      </c>
    </row>
    <row r="25" spans="2:6" ht="20.25" hidden="1" customHeight="1" x14ac:dyDescent="0.25">
      <c r="B25" s="4" t="s">
        <v>721</v>
      </c>
      <c r="D25" s="6">
        <v>0</v>
      </c>
      <c r="E25" s="6">
        <v>0</v>
      </c>
      <c r="F25" s="6">
        <f>D25-E25</f>
        <v>0</v>
      </c>
    </row>
    <row r="26" spans="2:6" ht="20.25" hidden="1" customHeight="1" x14ac:dyDescent="0.25">
      <c r="B26" s="4" t="s">
        <v>722</v>
      </c>
      <c r="C26" s="5" t="s">
        <v>73</v>
      </c>
      <c r="D26" s="6">
        <v>0</v>
      </c>
      <c r="E26" s="6">
        <v>0</v>
      </c>
      <c r="F26" s="6">
        <f>D26-E26</f>
        <v>0</v>
      </c>
    </row>
    <row r="27" spans="2:6" x14ac:dyDescent="0.25">
      <c r="C27" s="20" t="s">
        <v>890</v>
      </c>
      <c r="D27" s="6"/>
      <c r="E27" s="6"/>
      <c r="F27" s="6"/>
    </row>
    <row r="28" spans="2:6" ht="24" customHeight="1" x14ac:dyDescent="0.3">
      <c r="B28" s="47" t="s">
        <v>74</v>
      </c>
      <c r="C28" s="35" t="s">
        <v>73</v>
      </c>
      <c r="D28" s="73">
        <f>+D24</f>
        <v>1181200595.27</v>
      </c>
      <c r="E28" s="73">
        <f t="shared" ref="E28:F28" si="3">+E24</f>
        <v>1170441062.6800001</v>
      </c>
      <c r="F28" s="73">
        <f t="shared" si="3"/>
        <v>10759532.589999914</v>
      </c>
    </row>
    <row r="29" spans="2:6" ht="20.100000000000001" customHeight="1" x14ac:dyDescent="0.25">
      <c r="C29" s="5" t="s">
        <v>73</v>
      </c>
      <c r="D29" s="6"/>
      <c r="E29" s="6"/>
      <c r="F29" s="6"/>
    </row>
    <row r="30" spans="2:6" ht="20.100000000000001" customHeight="1" x14ac:dyDescent="0.25">
      <c r="C30" s="5" t="s">
        <v>73</v>
      </c>
      <c r="D30" s="103"/>
      <c r="E30" s="6"/>
      <c r="F30" s="6"/>
    </row>
    <row r="31" spans="2:6" ht="24.75" customHeight="1" x14ac:dyDescent="0.3">
      <c r="B31" s="47" t="s">
        <v>75</v>
      </c>
      <c r="C31" s="35">
        <v>3</v>
      </c>
      <c r="D31" s="4"/>
      <c r="E31" s="4"/>
      <c r="F31" s="4"/>
    </row>
    <row r="32" spans="2:6" ht="20.100000000000001" customHeight="1" x14ac:dyDescent="0.25">
      <c r="B32" s="4" t="s">
        <v>76</v>
      </c>
      <c r="C32" s="5" t="s">
        <v>73</v>
      </c>
      <c r="D32" s="36">
        <f>+'Nota 3 Resumen'!C9</f>
        <v>7132898.709999999</v>
      </c>
      <c r="E32" s="36">
        <v>7132898.709999999</v>
      </c>
      <c r="F32" s="6">
        <f t="shared" ref="F32:F35" si="4">D32-E32</f>
        <v>0</v>
      </c>
    </row>
    <row r="33" spans="2:8" ht="20.100000000000001" customHeight="1" x14ac:dyDescent="0.25">
      <c r="B33" s="4" t="s">
        <v>77</v>
      </c>
      <c r="C33" s="5" t="s">
        <v>73</v>
      </c>
      <c r="D33" s="36">
        <f>+'Nota 3 Resumen'!C10</f>
        <v>3355296.4899999998</v>
      </c>
      <c r="E33" s="36">
        <v>4391646.49</v>
      </c>
      <c r="F33" s="6">
        <f t="shared" si="4"/>
        <v>-1036350.0000000005</v>
      </c>
    </row>
    <row r="34" spans="2:8" ht="20.100000000000001" customHeight="1" x14ac:dyDescent="0.25">
      <c r="B34" s="4" t="s">
        <v>78</v>
      </c>
      <c r="D34" s="36">
        <f>+'Nota 3 CxC Emplead'!I12</f>
        <v>44334</v>
      </c>
      <c r="E34" s="36">
        <v>50873</v>
      </c>
      <c r="F34" s="6">
        <f t="shared" si="4"/>
        <v>-6539</v>
      </c>
    </row>
    <row r="35" spans="2:8" ht="20.100000000000001" customHeight="1" x14ac:dyDescent="0.25">
      <c r="B35" s="4" t="s">
        <v>79</v>
      </c>
      <c r="C35" s="5" t="s">
        <v>73</v>
      </c>
      <c r="D35" s="36">
        <f>+'Nota 3 Resumen'!C13</f>
        <v>229732.34999999998</v>
      </c>
      <c r="E35" s="36">
        <v>240318.77</v>
      </c>
      <c r="F35" s="6">
        <f t="shared" si="4"/>
        <v>-10586.420000000013</v>
      </c>
    </row>
    <row r="36" spans="2:8" x14ac:dyDescent="0.25">
      <c r="C36" s="20" t="s">
        <v>890</v>
      </c>
    </row>
    <row r="37" spans="2:8" ht="24" customHeight="1" x14ac:dyDescent="0.3">
      <c r="B37" s="47" t="s">
        <v>80</v>
      </c>
      <c r="C37" s="35" t="s">
        <v>73</v>
      </c>
      <c r="D37" s="73">
        <f>SUM(D32:D35)</f>
        <v>10762261.549999999</v>
      </c>
      <c r="E37" s="73">
        <f t="shared" ref="E37:F37" si="5">SUM(E32:E35)</f>
        <v>11815736.969999999</v>
      </c>
      <c r="F37" s="73">
        <f t="shared" si="5"/>
        <v>-1053475.4200000004</v>
      </c>
    </row>
    <row r="38" spans="2:8" ht="20.100000000000001" customHeight="1" x14ac:dyDescent="0.25">
      <c r="C38" s="5" t="s">
        <v>73</v>
      </c>
      <c r="D38" s="6"/>
      <c r="E38" s="6"/>
      <c r="F38" s="6"/>
    </row>
    <row r="39" spans="2:8" ht="20.100000000000001" customHeight="1" x14ac:dyDescent="0.25">
      <c r="C39" s="5" t="s">
        <v>73</v>
      </c>
      <c r="D39" s="6"/>
      <c r="E39" s="6"/>
      <c r="F39" s="6"/>
    </row>
    <row r="40" spans="2:8" ht="24.75" customHeight="1" x14ac:dyDescent="0.3">
      <c r="B40" s="47" t="s">
        <v>81</v>
      </c>
      <c r="C40" s="35">
        <v>4</v>
      </c>
      <c r="D40" s="4"/>
      <c r="E40" s="4"/>
      <c r="F40" s="4"/>
    </row>
    <row r="41" spans="2:8" ht="20.100000000000001" customHeight="1" x14ac:dyDescent="0.3">
      <c r="B41" s="4" t="s">
        <v>82</v>
      </c>
      <c r="C41" s="35"/>
      <c r="D41" s="6">
        <f>+'NOTA 4  INVENTARIO'!C18</f>
        <v>2020688.3800000004</v>
      </c>
      <c r="E41" s="6">
        <v>2325947.2799999998</v>
      </c>
      <c r="F41" s="6">
        <f t="shared" ref="F41:F42" si="6">D41-E41</f>
        <v>-305258.89999999944</v>
      </c>
    </row>
    <row r="42" spans="2:8" ht="20.100000000000001" customHeight="1" x14ac:dyDescent="0.3">
      <c r="B42" s="4" t="s">
        <v>83</v>
      </c>
      <c r="C42" s="35"/>
      <c r="D42" s="6">
        <f>+'NOTA 4  INVENTARIO'!C29</f>
        <v>870201.49</v>
      </c>
      <c r="E42" s="6">
        <v>914622.15</v>
      </c>
      <c r="F42" s="6">
        <f t="shared" si="6"/>
        <v>-44420.660000000033</v>
      </c>
    </row>
    <row r="43" spans="2:8" ht="20.100000000000001" customHeight="1" x14ac:dyDescent="0.25">
      <c r="C43" s="20" t="s">
        <v>890</v>
      </c>
      <c r="D43" s="6"/>
      <c r="E43" s="6"/>
      <c r="F43" s="6"/>
    </row>
    <row r="44" spans="2:8" ht="24" customHeight="1" x14ac:dyDescent="0.3">
      <c r="B44" s="47" t="s">
        <v>84</v>
      </c>
      <c r="C44" s="35" t="s">
        <v>73</v>
      </c>
      <c r="D44" s="73">
        <f>SUM(D41:D42)</f>
        <v>2890889.87</v>
      </c>
      <c r="E44" s="73">
        <f t="shared" ref="E44:F44" si="7">SUM(E41:E42)</f>
        <v>3240569.4299999997</v>
      </c>
      <c r="F44" s="73">
        <f t="shared" si="7"/>
        <v>-349679.55999999947</v>
      </c>
    </row>
    <row r="45" spans="2:8" ht="20.100000000000001" customHeight="1" x14ac:dyDescent="0.25">
      <c r="C45" s="104"/>
      <c r="D45" s="6"/>
      <c r="E45" s="6"/>
      <c r="F45" s="6"/>
    </row>
    <row r="46" spans="2:8" ht="20.100000000000001" customHeight="1" x14ac:dyDescent="0.25">
      <c r="C46" s="104"/>
      <c r="D46" s="6"/>
      <c r="E46" s="6"/>
      <c r="F46" s="6"/>
    </row>
    <row r="47" spans="2:8" ht="24.75" customHeight="1" x14ac:dyDescent="0.3">
      <c r="B47" s="47" t="s">
        <v>85</v>
      </c>
      <c r="C47" s="35">
        <v>5</v>
      </c>
      <c r="D47" s="4"/>
      <c r="E47" s="4"/>
      <c r="F47" s="4"/>
    </row>
    <row r="48" spans="2:8" ht="20.100000000000001" customHeight="1" x14ac:dyDescent="0.25">
      <c r="B48" s="4" t="s">
        <v>86</v>
      </c>
      <c r="D48" s="6">
        <f>+'NOTA 5  GPA'!D9</f>
        <v>328882.49</v>
      </c>
      <c r="E48" s="6">
        <v>411103.11</v>
      </c>
      <c r="F48" s="6">
        <f t="shared" ref="F48:F49" si="8">D48-E48</f>
        <v>-82220.62</v>
      </c>
      <c r="H48" s="105">
        <v>411103.11</v>
      </c>
    </row>
    <row r="49" spans="2:8" ht="20.100000000000001" customHeight="1" x14ac:dyDescent="0.25">
      <c r="B49" s="4" t="s">
        <v>87</v>
      </c>
      <c r="D49" s="6">
        <f>+'NOTA 5  GPA'!D12+'NOTA 5  GPA'!D14+'NOTA 5  GPA'!D17</f>
        <v>2015020.5766666667</v>
      </c>
      <c r="E49" s="6">
        <v>2415150.7883333331</v>
      </c>
      <c r="F49" s="6">
        <f t="shared" si="8"/>
        <v>-400130.21166666644</v>
      </c>
      <c r="H49" s="105">
        <v>2415150.79</v>
      </c>
    </row>
    <row r="50" spans="2:8" ht="20.100000000000001" customHeight="1" x14ac:dyDescent="0.25">
      <c r="C50" s="20" t="s">
        <v>890</v>
      </c>
      <c r="D50" s="6"/>
      <c r="E50" s="6"/>
      <c r="F50" s="6"/>
    </row>
    <row r="51" spans="2:8" ht="24" customHeight="1" x14ac:dyDescent="0.3">
      <c r="B51" s="47" t="s">
        <v>88</v>
      </c>
      <c r="C51" s="35" t="s">
        <v>73</v>
      </c>
      <c r="D51" s="73">
        <f>SUM(D48:D49)</f>
        <v>2343903.0666666664</v>
      </c>
      <c r="E51" s="73">
        <f t="shared" ref="E51:F51" si="9">SUM(E48:E49)</f>
        <v>2826253.898333333</v>
      </c>
      <c r="F51" s="73">
        <f t="shared" si="9"/>
        <v>-482350.83166666643</v>
      </c>
    </row>
    <row r="52" spans="2:8" ht="20.100000000000001" customHeight="1" x14ac:dyDescent="0.25">
      <c r="C52" s="5" t="s">
        <v>73</v>
      </c>
      <c r="D52" s="6"/>
      <c r="E52" s="6"/>
      <c r="F52" s="6"/>
    </row>
    <row r="53" spans="2:8" ht="20.100000000000001" customHeight="1" x14ac:dyDescent="0.25">
      <c r="D53" s="6"/>
      <c r="E53" s="6"/>
      <c r="F53" s="6"/>
    </row>
    <row r="54" spans="2:8" ht="24.75" customHeight="1" x14ac:dyDescent="0.3">
      <c r="B54" s="47" t="s">
        <v>89</v>
      </c>
      <c r="C54" s="35">
        <v>6</v>
      </c>
      <c r="D54" s="4"/>
      <c r="E54" s="4"/>
      <c r="F54" s="4"/>
    </row>
    <row r="55" spans="2:8" ht="20.100000000000001" customHeight="1" x14ac:dyDescent="0.3">
      <c r="B55" s="4" t="s">
        <v>90</v>
      </c>
      <c r="C55" s="35"/>
      <c r="D55" s="6">
        <v>695349700</v>
      </c>
      <c r="E55" s="6">
        <v>695349700</v>
      </c>
      <c r="F55" s="6">
        <f t="shared" ref="F55:F57" si="10">D55-E55</f>
        <v>0</v>
      </c>
    </row>
    <row r="56" spans="2:8" ht="20.100000000000001" customHeight="1" x14ac:dyDescent="0.25">
      <c r="B56" s="4" t="s">
        <v>91</v>
      </c>
      <c r="C56" s="106"/>
      <c r="D56" s="6">
        <f>+-309771035.29+-49893711.42</f>
        <v>-359664746.71000004</v>
      </c>
      <c r="E56" s="6">
        <v>-359664746.71000004</v>
      </c>
      <c r="F56" s="6">
        <f t="shared" si="10"/>
        <v>0</v>
      </c>
    </row>
    <row r="57" spans="2:8" ht="20.100000000000001" customHeight="1" x14ac:dyDescent="0.3">
      <c r="B57" s="4" t="s">
        <v>92</v>
      </c>
      <c r="C57" s="107"/>
      <c r="D57" s="108">
        <v>34767485</v>
      </c>
      <c r="E57" s="108">
        <v>34767485</v>
      </c>
      <c r="F57" s="108">
        <f t="shared" si="10"/>
        <v>0</v>
      </c>
    </row>
    <row r="58" spans="2:8" ht="24.75" customHeight="1" x14ac:dyDescent="0.3">
      <c r="B58" s="47" t="s">
        <v>93</v>
      </c>
      <c r="C58" s="35"/>
      <c r="D58" s="73">
        <f>SUM(D55:D57)</f>
        <v>370452438.28999996</v>
      </c>
      <c r="E58" s="73">
        <f t="shared" ref="E58:F58" si="11">SUM(E55:E57)</f>
        <v>370452438.28999996</v>
      </c>
      <c r="F58" s="73">
        <f t="shared" si="11"/>
        <v>0</v>
      </c>
    </row>
    <row r="59" spans="2:8" ht="20.100000000000001" customHeight="1" x14ac:dyDescent="0.3">
      <c r="B59" s="109"/>
      <c r="C59" s="35"/>
      <c r="D59" s="110"/>
      <c r="E59" s="110"/>
      <c r="F59" s="110"/>
    </row>
    <row r="60" spans="2:8" ht="20.100000000000001" customHeight="1" x14ac:dyDescent="0.3">
      <c r="C60" s="35"/>
      <c r="D60" s="6"/>
      <c r="E60" s="110"/>
      <c r="F60" s="6"/>
    </row>
    <row r="61" spans="2:8" ht="20.100000000000001" customHeight="1" x14ac:dyDescent="0.25">
      <c r="B61" s="4" t="s">
        <v>94</v>
      </c>
      <c r="C61" s="5" t="s">
        <v>73</v>
      </c>
      <c r="D61" s="6">
        <v>2816310100</v>
      </c>
      <c r="E61" s="6">
        <v>2816310100</v>
      </c>
      <c r="F61" s="6">
        <f t="shared" ref="F61:F63" si="12">D61-E61</f>
        <v>0</v>
      </c>
    </row>
    <row r="62" spans="2:8" ht="20.100000000000001" customHeight="1" x14ac:dyDescent="0.25">
      <c r="B62" s="4" t="s">
        <v>91</v>
      </c>
      <c r="D62" s="6">
        <f>989942533.2-676148765+60653227.05+18947380.94</f>
        <v>393394376.19000006</v>
      </c>
      <c r="E62" s="6">
        <v>393394376.19000006</v>
      </c>
      <c r="F62" s="6">
        <f t="shared" si="12"/>
        <v>0</v>
      </c>
    </row>
    <row r="63" spans="2:8" ht="20.100000000000001" customHeight="1" x14ac:dyDescent="0.25">
      <c r="B63" s="4" t="s">
        <v>92</v>
      </c>
      <c r="C63" s="111"/>
      <c r="D63" s="108">
        <v>281631010.64999998</v>
      </c>
      <c r="E63" s="108">
        <v>281631010.64999998</v>
      </c>
      <c r="F63" s="108">
        <f t="shared" si="12"/>
        <v>0</v>
      </c>
    </row>
    <row r="64" spans="2:8" ht="20.100000000000001" customHeight="1" x14ac:dyDescent="0.3">
      <c r="B64" s="47" t="s">
        <v>95</v>
      </c>
      <c r="C64" s="35"/>
      <c r="D64" s="73">
        <f>SUM(D61:D63)</f>
        <v>3491335486.8400002</v>
      </c>
      <c r="E64" s="73">
        <f>SUM(E61:E63)</f>
        <v>3491335486.8400002</v>
      </c>
      <c r="F64" s="73">
        <f>SUM(F61:F63)</f>
        <v>0</v>
      </c>
    </row>
    <row r="65" spans="2:6" ht="20.100000000000001" customHeight="1" x14ac:dyDescent="0.25">
      <c r="D65" s="6"/>
      <c r="E65" s="6"/>
      <c r="F65" s="6"/>
    </row>
    <row r="66" spans="2:6" ht="20.100000000000001" customHeight="1" x14ac:dyDescent="0.25">
      <c r="D66" s="6"/>
      <c r="E66" s="6"/>
      <c r="F66" s="6"/>
    </row>
    <row r="67" spans="2:6" ht="20.100000000000001" customHeight="1" x14ac:dyDescent="0.25">
      <c r="B67" s="4" t="s">
        <v>96</v>
      </c>
      <c r="D67" s="6">
        <v>251919000</v>
      </c>
      <c r="E67" s="6">
        <v>251919000</v>
      </c>
      <c r="F67" s="6">
        <f t="shared" ref="F67:F69" si="13">D67-E67</f>
        <v>0</v>
      </c>
    </row>
    <row r="68" spans="2:6" ht="20.100000000000001" customHeight="1" x14ac:dyDescent="0.25">
      <c r="B68" s="4" t="s">
        <v>91</v>
      </c>
      <c r="D68" s="6">
        <f>2060843894.79+50287783.14-432406.57</f>
        <v>2110699271.3600001</v>
      </c>
      <c r="E68" s="6">
        <v>2110699271.3600001</v>
      </c>
      <c r="F68" s="6">
        <f t="shared" si="13"/>
        <v>0</v>
      </c>
    </row>
    <row r="69" spans="2:6" ht="20.100000000000001" customHeight="1" x14ac:dyDescent="0.25">
      <c r="B69" s="4" t="s">
        <v>92</v>
      </c>
      <c r="C69" s="111"/>
      <c r="D69" s="108">
        <v>25191900</v>
      </c>
      <c r="E69" s="108">
        <v>25191900</v>
      </c>
      <c r="F69" s="108">
        <f t="shared" si="13"/>
        <v>0</v>
      </c>
    </row>
    <row r="70" spans="2:6" ht="20.100000000000001" customHeight="1" x14ac:dyDescent="0.3">
      <c r="B70" s="47" t="s">
        <v>97</v>
      </c>
      <c r="C70" s="35"/>
      <c r="D70" s="73">
        <f>SUM(D67:D69)</f>
        <v>2387810171.3600001</v>
      </c>
      <c r="E70" s="73">
        <f>SUM(E67:E69)</f>
        <v>2387810171.3600001</v>
      </c>
      <c r="F70" s="73">
        <f>SUM(F67:F69)</f>
        <v>0</v>
      </c>
    </row>
    <row r="71" spans="2:6" ht="20.100000000000001" customHeight="1" x14ac:dyDescent="0.25">
      <c r="D71" s="6"/>
      <c r="E71" s="6"/>
      <c r="F71" s="6"/>
    </row>
    <row r="72" spans="2:6" ht="20.100000000000001" customHeight="1" x14ac:dyDescent="0.25">
      <c r="D72" s="6"/>
      <c r="E72" s="6"/>
      <c r="F72" s="6"/>
    </row>
    <row r="73" spans="2:6" ht="20.100000000000001" customHeight="1" x14ac:dyDescent="0.25">
      <c r="B73" s="4" t="s">
        <v>98</v>
      </c>
      <c r="D73" s="6">
        <v>2297250000</v>
      </c>
      <c r="E73" s="6">
        <v>2297250000</v>
      </c>
      <c r="F73" s="6">
        <f t="shared" ref="F73:F75" si="14">D73-E73</f>
        <v>0</v>
      </c>
    </row>
    <row r="74" spans="2:6" ht="20.100000000000001" customHeight="1" x14ac:dyDescent="0.25">
      <c r="B74" s="4" t="s">
        <v>91</v>
      </c>
      <c r="D74" s="6">
        <f>5858832680.62-78754498.23+143075753.46</f>
        <v>5923153935.8500004</v>
      </c>
      <c r="E74" s="6">
        <v>5923153935.8500004</v>
      </c>
      <c r="F74" s="6">
        <f t="shared" si="14"/>
        <v>0</v>
      </c>
    </row>
    <row r="75" spans="2:6" ht="20.100000000000001" customHeight="1" x14ac:dyDescent="0.25">
      <c r="B75" s="4" t="s">
        <v>92</v>
      </c>
      <c r="C75" s="111"/>
      <c r="D75" s="108">
        <v>229725000.47999999</v>
      </c>
      <c r="E75" s="108">
        <v>229725000.47999999</v>
      </c>
      <c r="F75" s="108">
        <f t="shared" si="14"/>
        <v>0</v>
      </c>
    </row>
    <row r="76" spans="2:6" ht="20.100000000000001" customHeight="1" x14ac:dyDescent="0.3">
      <c r="B76" s="47" t="s">
        <v>99</v>
      </c>
      <c r="C76" s="35"/>
      <c r="D76" s="73">
        <f>SUM(D73:D75)</f>
        <v>8450128936.3299999</v>
      </c>
      <c r="E76" s="73">
        <f>SUM(E73:E75)</f>
        <v>8450128936.3299999</v>
      </c>
      <c r="F76" s="73">
        <f>SUM(F73:F75)</f>
        <v>0</v>
      </c>
    </row>
    <row r="77" spans="2:6" ht="20.100000000000001" customHeight="1" x14ac:dyDescent="0.3">
      <c r="B77" s="109"/>
      <c r="D77" s="110"/>
      <c r="E77" s="110"/>
      <c r="F77" s="110"/>
    </row>
    <row r="78" spans="2:6" ht="20.100000000000001" customHeight="1" x14ac:dyDescent="0.25">
      <c r="D78" s="6"/>
      <c r="E78" s="6"/>
      <c r="F78" s="6"/>
    </row>
    <row r="79" spans="2:6" ht="20.100000000000001" customHeight="1" x14ac:dyDescent="0.25">
      <c r="B79" s="4" t="s">
        <v>100</v>
      </c>
      <c r="D79" s="31">
        <v>3240339500</v>
      </c>
      <c r="E79" s="6">
        <v>3240339500</v>
      </c>
      <c r="F79" s="6">
        <f t="shared" ref="F79:F80" si="15">D79-E79</f>
        <v>0</v>
      </c>
    </row>
    <row r="80" spans="2:6" ht="20.100000000000001" customHeight="1" x14ac:dyDescent="0.25">
      <c r="B80" s="4" t="s">
        <v>91</v>
      </c>
      <c r="D80" s="108">
        <v>-3240339500</v>
      </c>
      <c r="E80" s="108">
        <v>-3240339500</v>
      </c>
      <c r="F80" s="108">
        <f t="shared" si="15"/>
        <v>0</v>
      </c>
    </row>
    <row r="81" spans="2:9" ht="24.75" customHeight="1" x14ac:dyDescent="0.3">
      <c r="B81" s="47" t="s">
        <v>101</v>
      </c>
      <c r="C81" s="35"/>
      <c r="D81" s="73">
        <f>SUM(D79:D80)</f>
        <v>0</v>
      </c>
      <c r="E81" s="73">
        <f>SUM(E79:E80)</f>
        <v>0</v>
      </c>
      <c r="F81" s="73">
        <f>SUM(F79:F80)</f>
        <v>0</v>
      </c>
    </row>
    <row r="82" spans="2:9" ht="20.100000000000001" customHeight="1" x14ac:dyDescent="0.25">
      <c r="D82" s="6"/>
      <c r="E82" s="6"/>
      <c r="F82" s="6"/>
    </row>
    <row r="83" spans="2:9" ht="20.100000000000001" customHeight="1" x14ac:dyDescent="0.25">
      <c r="D83" s="6"/>
      <c r="E83" s="6"/>
      <c r="F83" s="6"/>
      <c r="I83" s="25"/>
    </row>
    <row r="84" spans="2:9" ht="20.100000000000001" customHeight="1" x14ac:dyDescent="0.25">
      <c r="B84" s="4" t="s">
        <v>102</v>
      </c>
      <c r="D84" s="31">
        <v>3475097800</v>
      </c>
      <c r="E84" s="6">
        <v>3475097800</v>
      </c>
      <c r="F84" s="6">
        <f t="shared" ref="F84:F85" si="16">D84-E84</f>
        <v>0</v>
      </c>
    </row>
    <row r="85" spans="2:9" ht="20.100000000000001" customHeight="1" x14ac:dyDescent="0.25">
      <c r="B85" s="4" t="s">
        <v>91</v>
      </c>
      <c r="D85" s="108">
        <v>-3475097800</v>
      </c>
      <c r="E85" s="108">
        <v>-3475097800</v>
      </c>
      <c r="F85" s="108">
        <f t="shared" si="16"/>
        <v>0</v>
      </c>
    </row>
    <row r="86" spans="2:9" ht="20.100000000000001" customHeight="1" x14ac:dyDescent="0.3">
      <c r="B86" s="47" t="s">
        <v>103</v>
      </c>
      <c r="C86" s="35"/>
      <c r="D86" s="73">
        <f>SUM(D84:D85)</f>
        <v>0</v>
      </c>
      <c r="E86" s="73">
        <f>SUM(E84:E85)</f>
        <v>0</v>
      </c>
      <c r="F86" s="73">
        <f>SUM(F84:F85)</f>
        <v>0</v>
      </c>
    </row>
    <row r="87" spans="2:9" ht="20.100000000000001" customHeight="1" x14ac:dyDescent="0.25">
      <c r="D87" s="6"/>
      <c r="E87" s="6"/>
      <c r="F87" s="6"/>
    </row>
    <row r="88" spans="2:9" ht="20.100000000000001" customHeight="1" x14ac:dyDescent="0.25">
      <c r="D88" s="6"/>
      <c r="E88" s="6"/>
      <c r="F88" s="6"/>
    </row>
    <row r="89" spans="2:9" ht="20.100000000000001" customHeight="1" x14ac:dyDescent="0.25">
      <c r="B89" s="4" t="s">
        <v>104</v>
      </c>
      <c r="D89" s="6">
        <v>3462816000</v>
      </c>
      <c r="E89" s="6">
        <v>3462816000</v>
      </c>
      <c r="F89" s="6">
        <f t="shared" ref="F89:F90" si="17">D89-E89</f>
        <v>0</v>
      </c>
    </row>
    <row r="90" spans="2:9" ht="20.100000000000001" customHeight="1" x14ac:dyDescent="0.25">
      <c r="B90" s="4" t="s">
        <v>91</v>
      </c>
      <c r="D90" s="108">
        <v>-3462816000</v>
      </c>
      <c r="E90" s="108">
        <v>-3462816000</v>
      </c>
      <c r="F90" s="108">
        <f t="shared" si="17"/>
        <v>0</v>
      </c>
    </row>
    <row r="91" spans="2:9" ht="20.100000000000001" customHeight="1" x14ac:dyDescent="0.3">
      <c r="B91" s="47" t="s">
        <v>105</v>
      </c>
      <c r="C91" s="35"/>
      <c r="D91" s="73">
        <f>SUM(D89:D90)</f>
        <v>0</v>
      </c>
      <c r="E91" s="73">
        <f>SUM(E89:E90)</f>
        <v>0</v>
      </c>
      <c r="F91" s="73">
        <f>SUM(F89:F90)</f>
        <v>0</v>
      </c>
    </row>
    <row r="92" spans="2:9" ht="20.100000000000001" customHeight="1" x14ac:dyDescent="0.3">
      <c r="B92" s="112"/>
      <c r="C92" s="35"/>
      <c r="D92" s="73"/>
      <c r="E92" s="73"/>
      <c r="F92" s="73"/>
    </row>
    <row r="93" spans="2:9" ht="20.100000000000001" customHeight="1" x14ac:dyDescent="0.3">
      <c r="B93" s="47"/>
      <c r="C93" s="35"/>
      <c r="D93" s="73"/>
      <c r="E93" s="73"/>
      <c r="F93" s="73"/>
    </row>
    <row r="94" spans="2:9" ht="39" customHeight="1" x14ac:dyDescent="0.25">
      <c r="B94" s="19" t="s">
        <v>724</v>
      </c>
      <c r="D94" s="6">
        <v>134998789</v>
      </c>
      <c r="E94" s="6">
        <v>134998789</v>
      </c>
      <c r="F94" s="6">
        <f t="shared" ref="F94:F95" si="18">D94-E94</f>
        <v>0</v>
      </c>
    </row>
    <row r="95" spans="2:9" ht="20.100000000000001" customHeight="1" x14ac:dyDescent="0.25">
      <c r="B95" s="4" t="s">
        <v>91</v>
      </c>
      <c r="D95" s="108">
        <f>1709914.86-5224504.5</f>
        <v>-3514589.6399999997</v>
      </c>
      <c r="E95" s="108">
        <v>-3514589.6399999997</v>
      </c>
      <c r="F95" s="108">
        <f t="shared" si="18"/>
        <v>0</v>
      </c>
    </row>
    <row r="96" spans="2:9" ht="20.100000000000001" customHeight="1" x14ac:dyDescent="0.3">
      <c r="B96" s="47" t="s">
        <v>723</v>
      </c>
      <c r="C96" s="35"/>
      <c r="D96" s="73">
        <f>SUM(D94:D95)</f>
        <v>131484199.36</v>
      </c>
      <c r="E96" s="73">
        <f>SUM(E94:E95)</f>
        <v>131484199.36</v>
      </c>
      <c r="F96" s="113">
        <f>+D96-E96</f>
        <v>0</v>
      </c>
    </row>
    <row r="97" spans="2:8" ht="20.100000000000001" customHeight="1" x14ac:dyDescent="0.3">
      <c r="B97" s="47"/>
      <c r="C97" s="35"/>
      <c r="D97" s="73"/>
      <c r="E97" s="73"/>
      <c r="F97" s="73"/>
    </row>
    <row r="98" spans="2:8" ht="20.100000000000001" customHeight="1" x14ac:dyDescent="0.3">
      <c r="B98" s="47"/>
      <c r="C98" s="35"/>
      <c r="D98" s="73"/>
      <c r="E98" s="73"/>
      <c r="F98" s="73"/>
    </row>
    <row r="99" spans="2:8" ht="39.75" customHeight="1" x14ac:dyDescent="0.25">
      <c r="B99" s="19" t="s">
        <v>725</v>
      </c>
      <c r="D99" s="6">
        <v>30000</v>
      </c>
      <c r="E99" s="6">
        <v>30000</v>
      </c>
      <c r="F99" s="6">
        <f t="shared" ref="F99:F100" si="19">D99-E99</f>
        <v>0</v>
      </c>
    </row>
    <row r="100" spans="2:8" ht="20.100000000000001" customHeight="1" x14ac:dyDescent="0.25">
      <c r="B100" s="4" t="s">
        <v>91</v>
      </c>
      <c r="D100" s="108">
        <v>0</v>
      </c>
      <c r="E100" s="108">
        <v>0</v>
      </c>
      <c r="F100" s="108">
        <f t="shared" si="19"/>
        <v>0</v>
      </c>
    </row>
    <row r="101" spans="2:8" ht="20.100000000000001" customHeight="1" x14ac:dyDescent="0.3">
      <c r="B101" s="47" t="s">
        <v>726</v>
      </c>
      <c r="C101" s="35"/>
      <c r="D101" s="73">
        <f>SUM(D99:D100)</f>
        <v>30000</v>
      </c>
      <c r="E101" s="73">
        <f>SUM(E99:E100)</f>
        <v>30000</v>
      </c>
      <c r="F101" s="113">
        <f>+D101-E101</f>
        <v>0</v>
      </c>
    </row>
    <row r="102" spans="2:8" ht="20.100000000000001" customHeight="1" x14ac:dyDescent="0.25">
      <c r="C102" s="20" t="s">
        <v>890</v>
      </c>
      <c r="D102" s="6"/>
      <c r="E102" s="6"/>
      <c r="F102" s="33"/>
    </row>
    <row r="103" spans="2:8" ht="24" customHeight="1" x14ac:dyDescent="0.3">
      <c r="B103" s="47" t="s">
        <v>106</v>
      </c>
      <c r="C103" s="35" t="s">
        <v>73</v>
      </c>
      <c r="D103" s="73">
        <f>+D58+D64+D70+D76+D81+D86+D91+D96+D101</f>
        <v>14831241232.18</v>
      </c>
      <c r="E103" s="73">
        <f>+E58+E64+E70+E76+E81+E86+E91+E96+E101</f>
        <v>14831241232.18</v>
      </c>
      <c r="F103" s="73">
        <f>+F58+F64+F70+F76+F81+F86+F91+F96+F101</f>
        <v>0</v>
      </c>
    </row>
    <row r="104" spans="2:8" ht="20.100000000000001" customHeight="1" x14ac:dyDescent="0.3">
      <c r="B104" s="47"/>
      <c r="D104" s="114"/>
      <c r="E104" s="110"/>
      <c r="F104" s="110"/>
      <c r="H104" s="105"/>
    </row>
    <row r="105" spans="2:8" ht="20.100000000000001" customHeight="1" x14ac:dyDescent="0.3">
      <c r="B105" s="115"/>
      <c r="C105" s="111"/>
      <c r="E105" s="110"/>
      <c r="F105" s="110"/>
    </row>
    <row r="106" spans="2:8" ht="24.75" customHeight="1" x14ac:dyDescent="0.3">
      <c r="B106" s="47" t="s">
        <v>107</v>
      </c>
      <c r="C106" s="35">
        <v>7</v>
      </c>
      <c r="D106" s="4"/>
      <c r="E106" s="4"/>
      <c r="F106" s="4"/>
      <c r="H106" s="1"/>
    </row>
    <row r="107" spans="2:8" ht="20.100000000000001" customHeight="1" x14ac:dyDescent="0.25">
      <c r="B107" s="4" t="s">
        <v>108</v>
      </c>
      <c r="D107" s="6">
        <f>+'NOTA 7-AVANCES A FUTURAS CAPIT'!C14</f>
        <v>431156800</v>
      </c>
      <c r="E107" s="6">
        <v>431156800</v>
      </c>
      <c r="F107" s="6">
        <f t="shared" ref="F107:F111" si="20">D107-E107</f>
        <v>0</v>
      </c>
      <c r="H107" s="1"/>
    </row>
    <row r="108" spans="2:8" ht="20.100000000000001" customHeight="1" x14ac:dyDescent="0.25">
      <c r="B108" s="4" t="s">
        <v>109</v>
      </c>
      <c r="D108" s="6">
        <f>+'NOTA 7-AVANCES A FUTURAS CAPIT'!C15</f>
        <v>396750000</v>
      </c>
      <c r="E108" s="6">
        <v>396750000</v>
      </c>
      <c r="F108" s="6">
        <f t="shared" si="20"/>
        <v>0</v>
      </c>
      <c r="H108" s="1"/>
    </row>
    <row r="109" spans="2:8" ht="20.100000000000001" customHeight="1" x14ac:dyDescent="0.25">
      <c r="B109" s="4" t="s">
        <v>110</v>
      </c>
      <c r="D109" s="6">
        <f>+'NOTA 7-AVANCES A FUTURAS CAPIT'!C16</f>
        <v>1266750000</v>
      </c>
      <c r="E109" s="6">
        <v>1166750000</v>
      </c>
      <c r="F109" s="6">
        <f t="shared" si="20"/>
        <v>100000000</v>
      </c>
      <c r="H109" s="1"/>
    </row>
    <row r="110" spans="2:8" ht="20.100000000000001" customHeight="1" x14ac:dyDescent="0.25">
      <c r="B110" s="4" t="s">
        <v>252</v>
      </c>
      <c r="D110" s="6">
        <f>+'NOTA 7-AVANCES A FUTURAS CAPIT'!C17</f>
        <v>100000000</v>
      </c>
      <c r="E110" s="6">
        <v>100000000</v>
      </c>
      <c r="F110" s="6">
        <f t="shared" si="20"/>
        <v>0</v>
      </c>
      <c r="H110" s="1"/>
    </row>
    <row r="111" spans="2:8" ht="20.100000000000001" customHeight="1" x14ac:dyDescent="0.25">
      <c r="B111" s="4" t="s">
        <v>830</v>
      </c>
      <c r="D111" s="6">
        <f>+'NOTA 7-AVANCES A FUTURAS CAPIT'!C18</f>
        <v>84100000</v>
      </c>
      <c r="E111" s="6">
        <v>84100000</v>
      </c>
      <c r="F111" s="6">
        <f t="shared" si="20"/>
        <v>0</v>
      </c>
      <c r="H111" s="1"/>
    </row>
    <row r="112" spans="2:8" ht="20.100000000000001" customHeight="1" x14ac:dyDescent="0.25">
      <c r="C112" s="20" t="s">
        <v>890</v>
      </c>
      <c r="D112" s="6"/>
      <c r="E112" s="6"/>
      <c r="F112" s="6"/>
      <c r="H112" s="1"/>
    </row>
    <row r="113" spans="2:8" ht="24" customHeight="1" x14ac:dyDescent="0.3">
      <c r="B113" s="47" t="s">
        <v>111</v>
      </c>
      <c r="C113" s="35" t="s">
        <v>73</v>
      </c>
      <c r="D113" s="73">
        <f>SUM(D107:D111)</f>
        <v>2278756800</v>
      </c>
      <c r="E113" s="73">
        <f>SUM(E107:E111)</f>
        <v>2178756800</v>
      </c>
      <c r="F113" s="73">
        <f>SUM(F107:F111)</f>
        <v>100000000</v>
      </c>
      <c r="H113" s="1"/>
    </row>
    <row r="114" spans="2:8" ht="20.100000000000001" customHeight="1" x14ac:dyDescent="0.3">
      <c r="B114" s="47"/>
      <c r="D114" s="110"/>
      <c r="E114" s="110"/>
      <c r="F114" s="110"/>
    </row>
    <row r="115" spans="2:8" ht="20.100000000000001" customHeight="1" x14ac:dyDescent="0.3">
      <c r="B115" s="115"/>
      <c r="C115" s="111"/>
      <c r="D115" s="110"/>
      <c r="E115" s="110"/>
      <c r="F115" s="110"/>
    </row>
    <row r="116" spans="2:8" ht="24.75" customHeight="1" x14ac:dyDescent="0.3">
      <c r="B116" s="47" t="s">
        <v>112</v>
      </c>
      <c r="C116" s="35">
        <v>8</v>
      </c>
      <c r="D116" s="4"/>
      <c r="E116" s="4"/>
      <c r="F116" s="4"/>
    </row>
    <row r="117" spans="2:8" ht="20.100000000000001" customHeight="1" x14ac:dyDescent="0.25">
      <c r="B117" s="4" t="s">
        <v>113</v>
      </c>
      <c r="D117" s="116">
        <f>+'NOTA 8-MOBILIARIO Y EQUIPOS, NE'!C17</f>
        <v>61414827.859999999</v>
      </c>
      <c r="E117" s="6">
        <v>57977398.519999996</v>
      </c>
      <c r="F117" s="6">
        <f t="shared" ref="F117:F124" si="21">D117-E117</f>
        <v>3437429.3400000036</v>
      </c>
      <c r="G117" s="6"/>
    </row>
    <row r="118" spans="2:8" ht="20.100000000000001" customHeight="1" x14ac:dyDescent="0.25">
      <c r="B118" s="4" t="s">
        <v>114</v>
      </c>
      <c r="D118" s="117">
        <f>+-'NOTA 8-MOBILIARIO Y EQUIPOS, NE'!C24</f>
        <v>-42107991.530000009</v>
      </c>
      <c r="E118" s="6">
        <v>-41522351.930000007</v>
      </c>
      <c r="F118" s="6">
        <f t="shared" si="21"/>
        <v>-585639.60000000149</v>
      </c>
    </row>
    <row r="119" spans="2:8" ht="20.100000000000001" customHeight="1" x14ac:dyDescent="0.25">
      <c r="B119" s="4" t="s">
        <v>115</v>
      </c>
      <c r="C119" s="111"/>
      <c r="D119" s="117">
        <f>+'NOTA 8-MOBILIARIO Y EQUIPOS, NE'!D17</f>
        <v>1003826</v>
      </c>
      <c r="E119" s="6">
        <v>1003826</v>
      </c>
      <c r="F119" s="6">
        <f t="shared" si="21"/>
        <v>0</v>
      </c>
    </row>
    <row r="120" spans="2:8" ht="20.100000000000001" customHeight="1" x14ac:dyDescent="0.25">
      <c r="B120" s="4" t="s">
        <v>114</v>
      </c>
      <c r="C120" s="111"/>
      <c r="D120" s="117">
        <f>+-'NOTA 8-MOBILIARIO Y EQUIPOS, NE'!D24</f>
        <v>-568835.29999999993</v>
      </c>
      <c r="E120" s="6">
        <v>-552104.85</v>
      </c>
      <c r="F120" s="6">
        <f t="shared" si="21"/>
        <v>-16730.449999999953</v>
      </c>
    </row>
    <row r="121" spans="2:8" ht="20.100000000000001" customHeight="1" x14ac:dyDescent="0.25">
      <c r="B121" s="4" t="s">
        <v>116</v>
      </c>
      <c r="C121" s="111"/>
      <c r="D121" s="117">
        <f>+'NOTA 8-MOBILIARIO Y EQUIPOS, NE'!E17</f>
        <v>25682855.010000002</v>
      </c>
      <c r="E121" s="6">
        <v>25682855.010000002</v>
      </c>
      <c r="F121" s="6">
        <f t="shared" si="21"/>
        <v>0</v>
      </c>
    </row>
    <row r="122" spans="2:8" ht="20.100000000000001" customHeight="1" x14ac:dyDescent="0.25">
      <c r="B122" s="4" t="s">
        <v>114</v>
      </c>
      <c r="C122" s="111"/>
      <c r="D122" s="118">
        <f>+-'NOTA 8-MOBILIARIO Y EQUIPOS, NE'!E24</f>
        <v>-21791743.530000001</v>
      </c>
      <c r="E122" s="36">
        <v>-21689345.870000001</v>
      </c>
      <c r="F122" s="6">
        <f t="shared" si="21"/>
        <v>-102397.66000000015</v>
      </c>
    </row>
    <row r="123" spans="2:8" ht="20.100000000000001" customHeight="1" x14ac:dyDescent="0.25">
      <c r="B123" s="4" t="s">
        <v>117</v>
      </c>
      <c r="C123" s="111" t="s">
        <v>73</v>
      </c>
      <c r="D123" s="118">
        <f>+'NOTA 8-MOBILIARIO Y EQUIPOS, NE'!I17</f>
        <v>5881555.6499999994</v>
      </c>
      <c r="E123" s="36">
        <v>5881555.6499999994</v>
      </c>
      <c r="F123" s="6">
        <f t="shared" si="21"/>
        <v>0</v>
      </c>
    </row>
    <row r="124" spans="2:8" ht="20.100000000000001" customHeight="1" x14ac:dyDescent="0.25">
      <c r="B124" s="4" t="s">
        <v>118</v>
      </c>
      <c r="C124" s="111"/>
      <c r="D124" s="118">
        <f>+-'NOTA 8-MOBILIARIO Y EQUIPOS, NE'!I24</f>
        <v>-5881555.6499999994</v>
      </c>
      <c r="E124" s="36">
        <v>-5881555.6499999994</v>
      </c>
      <c r="F124" s="6">
        <f t="shared" si="21"/>
        <v>0</v>
      </c>
    </row>
    <row r="125" spans="2:8" ht="20.100000000000001" customHeight="1" x14ac:dyDescent="0.25">
      <c r="C125" s="20" t="s">
        <v>890</v>
      </c>
      <c r="D125" s="6"/>
      <c r="E125" s="6"/>
      <c r="F125" s="116"/>
    </row>
    <row r="126" spans="2:8" ht="20.100000000000001" customHeight="1" x14ac:dyDescent="0.3">
      <c r="B126" s="47" t="s">
        <v>119</v>
      </c>
      <c r="C126" s="35" t="s">
        <v>73</v>
      </c>
      <c r="D126" s="73">
        <f>SUM(D117:D124)</f>
        <v>23632938.50999999</v>
      </c>
      <c r="E126" s="73">
        <f>SUM(E117:E124)</f>
        <v>20900276.879999984</v>
      </c>
      <c r="F126" s="73">
        <f>SUM(F117:F124)</f>
        <v>2732661.6300000018</v>
      </c>
    </row>
    <row r="127" spans="2:8" ht="20.100000000000001" customHeight="1" x14ac:dyDescent="0.25">
      <c r="B127" s="25"/>
      <c r="C127" s="5" t="s">
        <v>73</v>
      </c>
      <c r="D127" s="6"/>
      <c r="E127" s="6"/>
      <c r="F127" s="6"/>
    </row>
    <row r="128" spans="2:8" ht="20.100000000000001" customHeight="1" x14ac:dyDescent="0.25">
      <c r="B128" s="25"/>
      <c r="C128" s="5" t="s">
        <v>73</v>
      </c>
      <c r="D128" s="6"/>
      <c r="E128" s="6"/>
      <c r="F128" s="6"/>
      <c r="G128" s="6"/>
    </row>
    <row r="129" spans="2:6" ht="24.75" customHeight="1" x14ac:dyDescent="0.3">
      <c r="B129" s="47" t="s">
        <v>120</v>
      </c>
      <c r="C129" s="35">
        <v>9</v>
      </c>
      <c r="D129" s="4"/>
      <c r="E129" s="4"/>
      <c r="F129" s="4"/>
    </row>
    <row r="130" spans="2:6" ht="20.100000000000001" customHeight="1" x14ac:dyDescent="0.25">
      <c r="B130" s="4" t="s">
        <v>121</v>
      </c>
      <c r="D130" s="6">
        <f>+'NOTA 9-CEDULAS CxP PROVEEDORES '!C9</f>
        <v>6570492.96</v>
      </c>
      <c r="E130" s="6">
        <v>1999625.43</v>
      </c>
      <c r="F130" s="6">
        <f t="shared" ref="F130:F135" si="22">D130-E130</f>
        <v>4570867.53</v>
      </c>
    </row>
    <row r="131" spans="2:6" ht="20.100000000000001" customHeight="1" x14ac:dyDescent="0.25">
      <c r="B131" s="4" t="s">
        <v>122</v>
      </c>
      <c r="D131" s="31">
        <f>+'NOTA 9-CEDULAS CxP PROVEEDORES '!C10</f>
        <v>330713.19</v>
      </c>
      <c r="E131" s="6">
        <v>5305.45</v>
      </c>
      <c r="F131" s="6">
        <f t="shared" si="22"/>
        <v>325407.74</v>
      </c>
    </row>
    <row r="132" spans="2:6" ht="20.100000000000001" customHeight="1" x14ac:dyDescent="0.25">
      <c r="B132" s="4" t="s">
        <v>123</v>
      </c>
      <c r="C132" s="5" t="s">
        <v>73</v>
      </c>
      <c r="D132" s="31">
        <f>+'NOTA 9-CEDULAS CxP PROVEEDORES '!C11</f>
        <v>131271.16</v>
      </c>
      <c r="E132" s="13">
        <v>154294.20000000001</v>
      </c>
      <c r="F132" s="6">
        <f t="shared" si="22"/>
        <v>-23023.040000000008</v>
      </c>
    </row>
    <row r="133" spans="2:6" ht="20.100000000000001" customHeight="1" x14ac:dyDescent="0.25">
      <c r="B133" s="4" t="s">
        <v>124</v>
      </c>
      <c r="D133" s="31">
        <f>+'NOTA 9-CEDULAS CxP PROVEEDORES '!C12</f>
        <v>10580</v>
      </c>
      <c r="E133" s="6">
        <v>18750</v>
      </c>
      <c r="F133" s="6">
        <f t="shared" si="22"/>
        <v>-8170</v>
      </c>
    </row>
    <row r="134" spans="2:6" ht="20.100000000000001" customHeight="1" x14ac:dyDescent="0.25">
      <c r="B134" s="4" t="s">
        <v>125</v>
      </c>
      <c r="D134" s="31">
        <f>+'NOTA 9-CEDULAS CxP PROVEEDORES '!C13</f>
        <v>3322507.28</v>
      </c>
      <c r="E134" s="6">
        <v>0</v>
      </c>
      <c r="F134" s="6">
        <f t="shared" si="22"/>
        <v>3322507.28</v>
      </c>
    </row>
    <row r="135" spans="2:6" ht="20.100000000000001" customHeight="1" x14ac:dyDescent="0.25">
      <c r="B135" s="4" t="s">
        <v>727</v>
      </c>
      <c r="D135" s="31">
        <f>+'NOTA 9-CEDULAS CxP PROVEEDORES '!C14</f>
        <v>538090</v>
      </c>
      <c r="E135" s="6">
        <v>538090</v>
      </c>
      <c r="F135" s="6">
        <f t="shared" si="22"/>
        <v>0</v>
      </c>
    </row>
    <row r="136" spans="2:6" x14ac:dyDescent="0.25">
      <c r="C136" s="20" t="s">
        <v>890</v>
      </c>
      <c r="D136" s="6"/>
      <c r="E136" s="6"/>
      <c r="F136" s="6"/>
    </row>
    <row r="137" spans="2:6" ht="24" customHeight="1" x14ac:dyDescent="0.3">
      <c r="B137" s="47" t="s">
        <v>126</v>
      </c>
      <c r="C137" s="35"/>
      <c r="D137" s="73">
        <f>SUM(D130:D136)</f>
        <v>10903654.59</v>
      </c>
      <c r="E137" s="73">
        <f>SUM(E130:E136)</f>
        <v>2716065.08</v>
      </c>
      <c r="F137" s="73">
        <f>SUM(F130:F136)</f>
        <v>8187589.5099999998</v>
      </c>
    </row>
    <row r="138" spans="2:6" ht="20.100000000000001" customHeight="1" x14ac:dyDescent="0.25">
      <c r="D138" s="6"/>
      <c r="E138" s="6"/>
      <c r="F138" s="6"/>
    </row>
    <row r="139" spans="2:6" ht="20.100000000000001" customHeight="1" x14ac:dyDescent="0.25">
      <c r="D139" s="6"/>
      <c r="E139" s="6"/>
      <c r="F139" s="6"/>
    </row>
    <row r="140" spans="2:6" ht="34.5" customHeight="1" x14ac:dyDescent="0.3">
      <c r="B140" s="88" t="s">
        <v>127</v>
      </c>
      <c r="C140" s="35">
        <v>10</v>
      </c>
      <c r="D140" s="4"/>
      <c r="E140" s="4"/>
      <c r="F140" s="4"/>
    </row>
    <row r="141" spans="2:6" ht="36" customHeight="1" x14ac:dyDescent="0.25">
      <c r="B141" s="119" t="s">
        <v>128</v>
      </c>
      <c r="D141" s="6">
        <f>+'NOTA 10-CEDULAS CxP CONTRATISTA'!C10</f>
        <v>44912.7</v>
      </c>
      <c r="E141" s="6">
        <v>0</v>
      </c>
      <c r="F141" s="6">
        <f t="shared" ref="F141:F142" si="23">D141-E141</f>
        <v>44912.7</v>
      </c>
    </row>
    <row r="142" spans="2:6" ht="20.100000000000001" customHeight="1" x14ac:dyDescent="0.25">
      <c r="B142" s="4" t="s">
        <v>129</v>
      </c>
      <c r="D142" s="31">
        <v>0</v>
      </c>
      <c r="E142" s="13">
        <v>0</v>
      </c>
      <c r="F142" s="6">
        <f t="shared" si="23"/>
        <v>0</v>
      </c>
    </row>
    <row r="143" spans="2:6" ht="20.100000000000001" customHeight="1" x14ac:dyDescent="0.25">
      <c r="C143" s="20" t="s">
        <v>890</v>
      </c>
      <c r="D143" s="13"/>
      <c r="E143" s="13"/>
      <c r="F143" s="6"/>
    </row>
    <row r="144" spans="2:6" ht="45" customHeight="1" x14ac:dyDescent="0.3">
      <c r="B144" s="88" t="s">
        <v>130</v>
      </c>
      <c r="C144" s="35" t="s">
        <v>73</v>
      </c>
      <c r="D144" s="73">
        <f>SUM(D141:D143)</f>
        <v>44912.7</v>
      </c>
      <c r="E144" s="73">
        <f t="shared" ref="E144:F144" si="24">SUM(E141:E143)</f>
        <v>0</v>
      </c>
      <c r="F144" s="73">
        <f t="shared" si="24"/>
        <v>44912.7</v>
      </c>
    </row>
    <row r="145" spans="2:6" ht="20.100000000000001" customHeight="1" x14ac:dyDescent="0.3">
      <c r="B145" s="100"/>
      <c r="C145" s="113"/>
      <c r="D145" s="6"/>
      <c r="E145" s="6"/>
      <c r="F145" s="6"/>
    </row>
    <row r="146" spans="2:6" ht="20.100000000000001" customHeight="1" x14ac:dyDescent="0.25">
      <c r="C146" s="5" t="s">
        <v>73</v>
      </c>
    </row>
    <row r="147" spans="2:6" ht="24.75" customHeight="1" x14ac:dyDescent="0.3">
      <c r="B147" s="47" t="s">
        <v>131</v>
      </c>
      <c r="C147" s="35">
        <v>11</v>
      </c>
      <c r="D147" s="4"/>
      <c r="E147" s="4"/>
      <c r="F147" s="4"/>
    </row>
    <row r="148" spans="2:6" ht="20.100000000000001" customHeight="1" x14ac:dyDescent="0.25">
      <c r="B148" s="4" t="s">
        <v>132</v>
      </c>
      <c r="D148" s="120">
        <f>+'NOTA 11-GASTOS PERSONAL X PAGAR'!B9</f>
        <v>498285.66</v>
      </c>
      <c r="E148" s="6">
        <v>576061.04</v>
      </c>
      <c r="F148" s="6">
        <f t="shared" ref="F148:F152" si="25">D148-E148</f>
        <v>-77775.380000000063</v>
      </c>
    </row>
    <row r="149" spans="2:6" ht="20.100000000000001" customHeight="1" x14ac:dyDescent="0.25">
      <c r="B149" s="4" t="s">
        <v>133</v>
      </c>
      <c r="C149" s="5" t="s">
        <v>73</v>
      </c>
      <c r="D149" s="121">
        <f>+'NOTA 11-GASTOS PERSONAL X PAGAR'!B10</f>
        <v>18328057.390000001</v>
      </c>
      <c r="E149" s="36">
        <v>13838107.800000001</v>
      </c>
      <c r="F149" s="6">
        <f t="shared" si="25"/>
        <v>4489949.59</v>
      </c>
    </row>
    <row r="150" spans="2:6" ht="20.100000000000001" customHeight="1" x14ac:dyDescent="0.25">
      <c r="B150" s="4" t="s">
        <v>728</v>
      </c>
      <c r="D150" s="121">
        <v>19279.259999999998</v>
      </c>
      <c r="E150" s="36">
        <v>19279.259999999998</v>
      </c>
      <c r="F150" s="6">
        <f t="shared" si="25"/>
        <v>0</v>
      </c>
    </row>
    <row r="151" spans="2:6" ht="20.100000000000001" customHeight="1" x14ac:dyDescent="0.25">
      <c r="B151" s="4" t="s">
        <v>134</v>
      </c>
      <c r="C151" s="5" t="s">
        <v>73</v>
      </c>
      <c r="D151" s="121">
        <f>+'NOTA 11-GASTOS PERSONAL X PAGAR'!B12</f>
        <v>3756813.18</v>
      </c>
      <c r="E151" s="36">
        <v>3521814.09</v>
      </c>
      <c r="F151" s="6">
        <f t="shared" si="25"/>
        <v>234999.09000000032</v>
      </c>
    </row>
    <row r="152" spans="2:6" ht="20.100000000000001" customHeight="1" x14ac:dyDescent="0.25">
      <c r="B152" s="4" t="s">
        <v>135</v>
      </c>
      <c r="C152" s="5" t="s">
        <v>73</v>
      </c>
      <c r="D152" s="122">
        <f>+'NOTA 11-GASTOS PERSONAL X PAGAR'!B13</f>
        <v>4858828.91</v>
      </c>
      <c r="E152" s="36">
        <v>4046547.24</v>
      </c>
      <c r="F152" s="6">
        <f t="shared" si="25"/>
        <v>812281.66999999993</v>
      </c>
    </row>
    <row r="153" spans="2:6" x14ac:dyDescent="0.25">
      <c r="C153" s="20" t="s">
        <v>890</v>
      </c>
      <c r="D153" s="6"/>
      <c r="E153" s="6"/>
      <c r="F153" s="6"/>
    </row>
    <row r="154" spans="2:6" ht="24" customHeight="1" x14ac:dyDescent="0.3">
      <c r="B154" s="47" t="s">
        <v>136</v>
      </c>
      <c r="C154" s="35" t="s">
        <v>73</v>
      </c>
      <c r="D154" s="73">
        <f>SUM(D148:D152)</f>
        <v>27461264.400000002</v>
      </c>
      <c r="E154" s="73">
        <f t="shared" ref="E154:F154" si="26">SUM(E148:E152)</f>
        <v>22001809.43</v>
      </c>
      <c r="F154" s="73">
        <f t="shared" si="26"/>
        <v>5459454.9700000007</v>
      </c>
    </row>
    <row r="155" spans="2:6" ht="20.100000000000001" customHeight="1" x14ac:dyDescent="0.25">
      <c r="C155" s="5" t="s">
        <v>73</v>
      </c>
      <c r="D155" s="6"/>
      <c r="E155" s="6"/>
      <c r="F155" s="6"/>
    </row>
    <row r="156" spans="2:6" ht="20.100000000000001" customHeight="1" x14ac:dyDescent="0.25">
      <c r="C156" s="5" t="s">
        <v>73</v>
      </c>
      <c r="D156" s="6"/>
      <c r="E156" s="6"/>
      <c r="F156" s="6"/>
    </row>
    <row r="157" spans="2:6" ht="24.75" customHeight="1" x14ac:dyDescent="0.3">
      <c r="B157" s="47" t="s">
        <v>137</v>
      </c>
      <c r="C157" s="35">
        <v>12</v>
      </c>
      <c r="D157" s="4"/>
      <c r="E157" s="4"/>
      <c r="F157" s="4"/>
    </row>
    <row r="158" spans="2:6" ht="20.100000000000001" customHeight="1" x14ac:dyDescent="0.25">
      <c r="B158" s="4" t="s">
        <v>730</v>
      </c>
      <c r="D158" s="31">
        <f>+'NOTA 12-RETENCIONES X PAGAR'!B10</f>
        <v>233066.65</v>
      </c>
      <c r="E158" s="33">
        <v>129981.69</v>
      </c>
      <c r="F158" s="6">
        <f t="shared" ref="F158:F162" si="27">D158-E158</f>
        <v>103084.95999999999</v>
      </c>
    </row>
    <row r="159" spans="2:6" ht="20.100000000000001" customHeight="1" x14ac:dyDescent="0.25">
      <c r="B159" s="4" t="s">
        <v>729</v>
      </c>
      <c r="C159" s="5" t="s">
        <v>73</v>
      </c>
      <c r="D159" s="31">
        <f>+'NOTA 12-RETENCIONES X PAGAR'!B11</f>
        <v>1525278.3</v>
      </c>
      <c r="E159" s="33">
        <v>1637399.29</v>
      </c>
      <c r="F159" s="6">
        <f t="shared" si="27"/>
        <v>-112120.98999999999</v>
      </c>
    </row>
    <row r="160" spans="2:6" ht="20.100000000000001" customHeight="1" x14ac:dyDescent="0.25">
      <c r="B160" s="4" t="s">
        <v>138</v>
      </c>
      <c r="D160" s="31">
        <f>+'NOTA 12-RETENCIONES X PAGAR'!B13</f>
        <v>231083.87</v>
      </c>
      <c r="E160" s="6">
        <v>31736.5</v>
      </c>
      <c r="F160" s="6">
        <f t="shared" si="27"/>
        <v>199347.37</v>
      </c>
    </row>
    <row r="161" spans="2:6" ht="20.100000000000001" customHeight="1" x14ac:dyDescent="0.25">
      <c r="B161" s="4" t="s">
        <v>139</v>
      </c>
      <c r="D161" s="31">
        <f>+'NOTA 12-RETENCIONES X PAGAR'!B14</f>
        <v>0</v>
      </c>
      <c r="E161" s="6">
        <v>1556.76</v>
      </c>
      <c r="F161" s="6">
        <f t="shared" si="27"/>
        <v>-1556.76</v>
      </c>
    </row>
    <row r="162" spans="2:6" ht="20.100000000000001" customHeight="1" x14ac:dyDescent="0.25">
      <c r="B162" s="4" t="s">
        <v>140</v>
      </c>
      <c r="D162" s="31">
        <f>+'NOTA 12-RETENCIONES X PAGAR'!B15</f>
        <v>0</v>
      </c>
      <c r="E162" s="6">
        <v>15567.61</v>
      </c>
      <c r="F162" s="6">
        <f t="shared" si="27"/>
        <v>-15567.61</v>
      </c>
    </row>
    <row r="163" spans="2:6" ht="20.100000000000001" customHeight="1" x14ac:dyDescent="0.25">
      <c r="C163" s="20" t="s">
        <v>890</v>
      </c>
      <c r="D163" s="31"/>
      <c r="E163" s="6"/>
      <c r="F163" s="6"/>
    </row>
    <row r="164" spans="2:6" ht="24" customHeight="1" x14ac:dyDescent="0.3">
      <c r="B164" s="47" t="s">
        <v>141</v>
      </c>
      <c r="C164" s="35" t="s">
        <v>73</v>
      </c>
      <c r="D164" s="73">
        <f>SUM(D158:D162)</f>
        <v>1989428.8199999998</v>
      </c>
      <c r="E164" s="73">
        <f t="shared" ref="E164:F164" si="28">SUM(E158:E162)</f>
        <v>1816241.85</v>
      </c>
      <c r="F164" s="73">
        <f t="shared" si="28"/>
        <v>173186.96999999997</v>
      </c>
    </row>
    <row r="165" spans="2:6" ht="20.100000000000001" customHeight="1" x14ac:dyDescent="0.25">
      <c r="D165" s="6"/>
      <c r="E165" s="6"/>
      <c r="F165" s="6"/>
    </row>
    <row r="166" spans="2:6" ht="20.100000000000001" customHeight="1" x14ac:dyDescent="0.25">
      <c r="D166" s="6"/>
      <c r="E166" s="6"/>
      <c r="F166" s="6"/>
    </row>
    <row r="167" spans="2:6" ht="24.75" customHeight="1" x14ac:dyDescent="0.3">
      <c r="B167" s="47" t="s">
        <v>142</v>
      </c>
      <c r="C167" s="35">
        <v>13</v>
      </c>
      <c r="D167" s="4"/>
      <c r="E167" s="4"/>
      <c r="F167" s="4"/>
    </row>
    <row r="168" spans="2:6" ht="20.100000000000001" customHeight="1" x14ac:dyDescent="0.25">
      <c r="B168" s="4" t="s">
        <v>142</v>
      </c>
      <c r="D168" s="6">
        <f>+'NOTA 13-OTRAS CXP'!B12</f>
        <v>194144294.68000001</v>
      </c>
      <c r="E168" s="6">
        <v>94144294.680000007</v>
      </c>
      <c r="F168" s="6">
        <f>D168-E168</f>
        <v>100000000</v>
      </c>
    </row>
    <row r="169" spans="2:6" ht="20.100000000000001" customHeight="1" x14ac:dyDescent="0.25">
      <c r="C169" s="20" t="s">
        <v>890</v>
      </c>
      <c r="D169" s="6"/>
      <c r="E169" s="6"/>
      <c r="F169" s="6"/>
    </row>
    <row r="170" spans="2:6" ht="24" customHeight="1" x14ac:dyDescent="0.3">
      <c r="B170" s="47" t="s">
        <v>143</v>
      </c>
      <c r="C170" s="35" t="s">
        <v>73</v>
      </c>
      <c r="D170" s="73">
        <f>SUM(D168:D168)</f>
        <v>194144294.68000001</v>
      </c>
      <c r="E170" s="73">
        <f>SUM(E168:E168)</f>
        <v>94144294.680000007</v>
      </c>
      <c r="F170" s="73">
        <f>SUM(F168:F168)</f>
        <v>100000000</v>
      </c>
    </row>
    <row r="171" spans="2:6" ht="20.100000000000001" customHeight="1" x14ac:dyDescent="0.25">
      <c r="C171" s="5" t="s">
        <v>73</v>
      </c>
      <c r="D171" s="4"/>
      <c r="E171" s="4"/>
      <c r="F171" s="4"/>
    </row>
    <row r="172" spans="2:6" ht="20.100000000000001" customHeight="1" x14ac:dyDescent="0.25">
      <c r="C172" s="5" t="s">
        <v>73</v>
      </c>
      <c r="D172" s="6"/>
      <c r="E172" s="6"/>
      <c r="F172" s="6"/>
    </row>
    <row r="173" spans="2:6" ht="20.100000000000001" customHeight="1" x14ac:dyDescent="0.25">
      <c r="C173" s="5" t="s">
        <v>73</v>
      </c>
      <c r="D173" s="4"/>
      <c r="E173" s="4"/>
      <c r="F173" s="4"/>
    </row>
    <row r="174" spans="2:6" x14ac:dyDescent="0.25">
      <c r="C174" s="5" t="s">
        <v>73</v>
      </c>
      <c r="D174" s="6"/>
      <c r="E174" s="6"/>
      <c r="F174" s="6"/>
    </row>
    <row r="175" spans="2:6" x14ac:dyDescent="0.25">
      <c r="D175" s="6"/>
      <c r="E175" s="4"/>
      <c r="F175" s="4"/>
    </row>
    <row r="176" spans="2:6" x14ac:dyDescent="0.25">
      <c r="D176" s="4"/>
      <c r="E176" s="4"/>
      <c r="F176" s="4"/>
    </row>
    <row r="177" spans="4:6" x14ac:dyDescent="0.25">
      <c r="D177" s="4"/>
      <c r="E177" s="4"/>
      <c r="F177" s="4"/>
    </row>
    <row r="178" spans="4:6" x14ac:dyDescent="0.25">
      <c r="D178" s="4"/>
      <c r="E178" s="4"/>
      <c r="F178" s="4"/>
    </row>
    <row r="179" spans="4:6" x14ac:dyDescent="0.25">
      <c r="D179" s="4"/>
      <c r="E179" s="4"/>
      <c r="F179" s="4"/>
    </row>
    <row r="180" spans="4:6" x14ac:dyDescent="0.25">
      <c r="D180" s="4"/>
      <c r="E180" s="4"/>
      <c r="F180" s="4"/>
    </row>
    <row r="181" spans="4:6" x14ac:dyDescent="0.25">
      <c r="D181" s="4"/>
      <c r="E181" s="4"/>
      <c r="F181" s="4"/>
    </row>
    <row r="182" spans="4:6" x14ac:dyDescent="0.25">
      <c r="D182" s="4"/>
      <c r="E182" s="4"/>
      <c r="F182" s="4"/>
    </row>
    <row r="183" spans="4:6" x14ac:dyDescent="0.25">
      <c r="D183" s="4"/>
      <c r="E183" s="4"/>
      <c r="F183" s="4"/>
    </row>
    <row r="184" spans="4:6" x14ac:dyDescent="0.25">
      <c r="D184" s="4"/>
      <c r="E184" s="4"/>
      <c r="F184" s="4"/>
    </row>
    <row r="185" spans="4:6" x14ac:dyDescent="0.25">
      <c r="D185" s="4"/>
      <c r="E185" s="4"/>
      <c r="F185" s="4"/>
    </row>
    <row r="186" spans="4:6" x14ac:dyDescent="0.25">
      <c r="D186" s="4"/>
      <c r="E186" s="4"/>
      <c r="F186" s="4"/>
    </row>
    <row r="187" spans="4:6" x14ac:dyDescent="0.25">
      <c r="D187" s="4"/>
      <c r="E187" s="4"/>
      <c r="F187" s="4"/>
    </row>
    <row r="188" spans="4:6" x14ac:dyDescent="0.25">
      <c r="D188" s="4"/>
      <c r="E188" s="4"/>
      <c r="F188" s="4"/>
    </row>
    <row r="189" spans="4:6" x14ac:dyDescent="0.25">
      <c r="D189" s="4"/>
      <c r="E189" s="4"/>
      <c r="F189" s="4"/>
    </row>
    <row r="190" spans="4:6" x14ac:dyDescent="0.25">
      <c r="D190" s="4"/>
      <c r="E190" s="4"/>
      <c r="F190" s="4"/>
    </row>
    <row r="191" spans="4:6" x14ac:dyDescent="0.25">
      <c r="D191" s="4"/>
      <c r="E191" s="4"/>
      <c r="F191" s="4"/>
    </row>
    <row r="192" spans="4:6" x14ac:dyDescent="0.25">
      <c r="D192" s="4"/>
      <c r="E192" s="4"/>
      <c r="F192" s="4"/>
    </row>
    <row r="193" spans="4:6" x14ac:dyDescent="0.25">
      <c r="D193" s="4"/>
      <c r="E193" s="4"/>
      <c r="F193" s="4"/>
    </row>
    <row r="194" spans="4:6" x14ac:dyDescent="0.25">
      <c r="D194" s="4"/>
      <c r="E194" s="4"/>
      <c r="F194" s="4"/>
    </row>
    <row r="195" spans="4:6" x14ac:dyDescent="0.25">
      <c r="D195" s="4"/>
      <c r="E195" s="4"/>
      <c r="F195" s="4"/>
    </row>
    <row r="196" spans="4:6" x14ac:dyDescent="0.25">
      <c r="D196" s="4"/>
      <c r="E196" s="4"/>
      <c r="F196" s="4"/>
    </row>
    <row r="197" spans="4:6" x14ac:dyDescent="0.25">
      <c r="D197" s="4"/>
      <c r="E197" s="4"/>
      <c r="F197" s="4"/>
    </row>
    <row r="198" spans="4:6" x14ac:dyDescent="0.25">
      <c r="D198" s="4"/>
      <c r="E198" s="4"/>
      <c r="F198" s="4"/>
    </row>
    <row r="199" spans="4:6" x14ac:dyDescent="0.25">
      <c r="D199" s="4"/>
      <c r="E199" s="4"/>
      <c r="F199" s="4"/>
    </row>
    <row r="200" spans="4:6" x14ac:dyDescent="0.25">
      <c r="D200" s="4"/>
      <c r="E200" s="4"/>
      <c r="F200" s="4"/>
    </row>
    <row r="201" spans="4:6" x14ac:dyDescent="0.25">
      <c r="D201" s="4"/>
      <c r="E201" s="4"/>
      <c r="F201" s="4"/>
    </row>
    <row r="202" spans="4:6" x14ac:dyDescent="0.25">
      <c r="D202" s="4"/>
      <c r="E202" s="4"/>
      <c r="F202" s="4"/>
    </row>
    <row r="203" spans="4:6" x14ac:dyDescent="0.25">
      <c r="D203" s="4"/>
      <c r="E203" s="4"/>
      <c r="F203" s="4"/>
    </row>
    <row r="204" spans="4:6" x14ac:dyDescent="0.25">
      <c r="D204" s="4"/>
      <c r="E204" s="4"/>
      <c r="F204" s="4"/>
    </row>
    <row r="205" spans="4:6" x14ac:dyDescent="0.25">
      <c r="D205" s="4"/>
      <c r="E205" s="4"/>
      <c r="F205" s="4"/>
    </row>
    <row r="206" spans="4:6" x14ac:dyDescent="0.25">
      <c r="D206" s="4"/>
      <c r="E206" s="4"/>
      <c r="F206" s="4"/>
    </row>
    <row r="207" spans="4:6" x14ac:dyDescent="0.25">
      <c r="D207" s="4"/>
      <c r="E207" s="4"/>
      <c r="F207" s="4"/>
    </row>
    <row r="208" spans="4:6" x14ac:dyDescent="0.25">
      <c r="D208" s="4"/>
      <c r="E208" s="4"/>
      <c r="F208" s="4"/>
    </row>
    <row r="209" spans="4:6" x14ac:dyDescent="0.25">
      <c r="D209" s="4"/>
      <c r="E209" s="4"/>
      <c r="F209" s="4"/>
    </row>
    <row r="210" spans="4:6" x14ac:dyDescent="0.25">
      <c r="D210" s="4"/>
      <c r="E210" s="4"/>
      <c r="F210" s="4"/>
    </row>
    <row r="211" spans="4:6" x14ac:dyDescent="0.25">
      <c r="D211" s="4"/>
      <c r="E211" s="4"/>
      <c r="F211" s="4"/>
    </row>
    <row r="212" spans="4:6" x14ac:dyDescent="0.25">
      <c r="D212" s="4"/>
      <c r="E212" s="4"/>
      <c r="F212" s="4"/>
    </row>
    <row r="213" spans="4:6" x14ac:dyDescent="0.25">
      <c r="D213" s="4"/>
      <c r="E213" s="4"/>
      <c r="F213" s="4"/>
    </row>
    <row r="214" spans="4:6" x14ac:dyDescent="0.25">
      <c r="D214" s="4"/>
      <c r="E214" s="4"/>
      <c r="F214" s="4"/>
    </row>
    <row r="215" spans="4:6" x14ac:dyDescent="0.25">
      <c r="D215" s="4"/>
      <c r="E215" s="4"/>
      <c r="F215" s="4"/>
    </row>
    <row r="216" spans="4:6" x14ac:dyDescent="0.25">
      <c r="D216" s="4"/>
      <c r="E216" s="4"/>
      <c r="F216" s="4"/>
    </row>
    <row r="217" spans="4:6" x14ac:dyDescent="0.25">
      <c r="D217" s="4"/>
      <c r="E217" s="4"/>
      <c r="F217" s="4"/>
    </row>
    <row r="218" spans="4:6" x14ac:dyDescent="0.25">
      <c r="D218" s="4"/>
      <c r="E218" s="4"/>
      <c r="F218" s="4"/>
    </row>
    <row r="219" spans="4:6" x14ac:dyDescent="0.25">
      <c r="D219" s="4"/>
      <c r="E219" s="4"/>
      <c r="F219" s="4"/>
    </row>
    <row r="220" spans="4:6" x14ac:dyDescent="0.25">
      <c r="D220" s="4"/>
      <c r="E220" s="4"/>
      <c r="F220" s="4"/>
    </row>
    <row r="221" spans="4:6" x14ac:dyDescent="0.25">
      <c r="D221" s="4"/>
      <c r="E221" s="4"/>
      <c r="F221" s="4"/>
    </row>
    <row r="222" spans="4:6" x14ac:dyDescent="0.25">
      <c r="D222" s="4"/>
      <c r="E222" s="4"/>
      <c r="F222" s="4"/>
    </row>
    <row r="223" spans="4:6" x14ac:dyDescent="0.25">
      <c r="D223" s="4"/>
      <c r="E223" s="4"/>
      <c r="F223" s="4"/>
    </row>
    <row r="224" spans="4:6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</sheetData>
  <pageMargins left="0.35433070866141736" right="0.23622047244094491" top="0.47244094488188981" bottom="0.59055118110236227" header="0.15748031496062992" footer="0.31496062992125984"/>
  <pageSetup scale="55" orientation="portrait" r:id="rId1"/>
  <headerFooter>
    <oddFooter>Page &amp;P of &amp;N</oddFooter>
  </headerFooter>
  <rowBreaks count="1" manualBreakCount="1">
    <brk id="65" max="5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3:W107"/>
  <sheetViews>
    <sheetView view="pageBreakPreview" topLeftCell="E4" zoomScale="70" zoomScaleNormal="100" zoomScaleSheetLayoutView="70" workbookViewId="0">
      <selection activeCell="G32" sqref="G32"/>
    </sheetView>
  </sheetViews>
  <sheetFormatPr baseColWidth="10" defaultColWidth="10.88671875" defaultRowHeight="15" x14ac:dyDescent="0.25"/>
  <cols>
    <col min="1" max="1" width="4.6640625" style="4" bestFit="1" customWidth="1"/>
    <col min="2" max="2" width="49.6640625" style="4" bestFit="1" customWidth="1"/>
    <col min="3" max="3" width="41" style="4" hidden="1" customWidth="1"/>
    <col min="4" max="4" width="15.5546875" style="4" customWidth="1"/>
    <col min="5" max="5" width="41.109375" style="4" bestFit="1" customWidth="1"/>
    <col min="6" max="6" width="14.109375" style="4" bestFit="1" customWidth="1"/>
    <col min="7" max="7" width="12.88671875" style="4" bestFit="1" customWidth="1"/>
    <col min="8" max="15" width="11.109375" style="4" bestFit="1" customWidth="1"/>
    <col min="16" max="21" width="0" style="4" hidden="1" customWidth="1"/>
    <col min="22" max="22" width="13" style="4" bestFit="1" customWidth="1"/>
    <col min="23" max="23" width="16" style="4" bestFit="1" customWidth="1"/>
    <col min="24" max="16384" width="10.88671875" style="4"/>
  </cols>
  <sheetData>
    <row r="3" spans="1:23" ht="15.6" x14ac:dyDescent="0.25">
      <c r="A3" s="515"/>
      <c r="B3" s="515"/>
      <c r="C3" s="515"/>
      <c r="D3" s="5"/>
      <c r="J3" s="5"/>
      <c r="K3" s="5"/>
    </row>
    <row r="4" spans="1:23" ht="15" customHeight="1" x14ac:dyDescent="0.25">
      <c r="A4" s="515"/>
      <c r="B4" s="515"/>
      <c r="C4" s="515"/>
      <c r="D4" s="5"/>
      <c r="J4" s="5"/>
      <c r="K4" s="5"/>
    </row>
    <row r="5" spans="1:23" ht="18.75" customHeight="1" x14ac:dyDescent="0.25">
      <c r="A5" s="515"/>
      <c r="B5" s="515"/>
      <c r="C5" s="515"/>
      <c r="D5" s="5"/>
      <c r="J5" s="5"/>
      <c r="K5" s="5"/>
    </row>
    <row r="6" spans="1:23" ht="24.75" customHeight="1" x14ac:dyDescent="0.25">
      <c r="A6" s="515"/>
      <c r="B6" s="516" t="s">
        <v>599</v>
      </c>
      <c r="C6" s="516"/>
      <c r="D6" s="517"/>
      <c r="J6" s="5"/>
      <c r="K6" s="5"/>
    </row>
    <row r="7" spans="1:23" ht="36.75" customHeight="1" x14ac:dyDescent="0.25">
      <c r="A7" s="515"/>
      <c r="B7" s="517" t="s">
        <v>694</v>
      </c>
      <c r="C7" s="517"/>
      <c r="D7" s="517"/>
      <c r="J7" s="5"/>
      <c r="K7" s="5"/>
    </row>
    <row r="8" spans="1:23" ht="16.2" thickBot="1" x14ac:dyDescent="0.3">
      <c r="A8" s="515"/>
      <c r="B8" s="515"/>
      <c r="C8" s="515"/>
      <c r="D8" s="517"/>
      <c r="J8" s="5"/>
      <c r="K8" s="5"/>
    </row>
    <row r="9" spans="1:23" ht="63" thickBot="1" x14ac:dyDescent="0.3">
      <c r="A9" s="518" t="s">
        <v>346</v>
      </c>
      <c r="B9" s="519" t="s">
        <v>695</v>
      </c>
      <c r="C9" s="519"/>
      <c r="D9" s="521" t="s">
        <v>600</v>
      </c>
      <c r="E9" s="521" t="s">
        <v>349</v>
      </c>
      <c r="F9" s="521" t="s">
        <v>601</v>
      </c>
      <c r="G9" s="521" t="s">
        <v>602</v>
      </c>
      <c r="H9" s="576" t="s">
        <v>696</v>
      </c>
      <c r="I9" s="521" t="s">
        <v>603</v>
      </c>
      <c r="J9" s="521" t="s">
        <v>565</v>
      </c>
      <c r="K9" s="521" t="s">
        <v>554</v>
      </c>
      <c r="L9" s="521" t="s">
        <v>555</v>
      </c>
      <c r="M9" s="521" t="s">
        <v>556</v>
      </c>
      <c r="N9" s="521" t="s">
        <v>557</v>
      </c>
      <c r="O9" s="521" t="s">
        <v>558</v>
      </c>
      <c r="P9" s="521" t="s">
        <v>559</v>
      </c>
      <c r="Q9" s="521" t="s">
        <v>560</v>
      </c>
      <c r="R9" s="521" t="s">
        <v>561</v>
      </c>
      <c r="S9" s="521" t="s">
        <v>562</v>
      </c>
      <c r="T9" s="521" t="s">
        <v>563</v>
      </c>
      <c r="U9" s="521" t="s">
        <v>697</v>
      </c>
      <c r="V9" s="521" t="s">
        <v>698</v>
      </c>
      <c r="W9" s="520" t="s">
        <v>717</v>
      </c>
    </row>
    <row r="10" spans="1:23" ht="15.6" x14ac:dyDescent="0.25">
      <c r="A10" s="522">
        <v>1</v>
      </c>
      <c r="B10" s="207" t="s">
        <v>604</v>
      </c>
      <c r="C10" s="207" t="str">
        <f>VLOOKUP(B10,[1]Junio!$A$4:$A$23,1,0)</f>
        <v>AIDA VICTORIA PARDILLA MARTINEZ</v>
      </c>
      <c r="D10" s="523">
        <v>10</v>
      </c>
      <c r="E10" s="229" t="s">
        <v>605</v>
      </c>
      <c r="F10" s="209">
        <v>132000</v>
      </c>
      <c r="G10" s="507">
        <f>F10/21.67</f>
        <v>6091.3705583756337</v>
      </c>
      <c r="H10" s="524">
        <v>30</v>
      </c>
      <c r="I10" s="229">
        <f>D10+H10</f>
        <v>40</v>
      </c>
      <c r="J10" s="228">
        <v>2</v>
      </c>
      <c r="K10" s="228"/>
      <c r="L10" s="229"/>
      <c r="M10" s="229">
        <v>8</v>
      </c>
      <c r="N10" s="229"/>
      <c r="O10" s="525">
        <v>10</v>
      </c>
      <c r="P10" s="229"/>
      <c r="Q10" s="229"/>
      <c r="R10" s="229"/>
      <c r="S10" s="229"/>
      <c r="T10" s="229"/>
      <c r="U10" s="229"/>
      <c r="V10" s="229">
        <f>I10-J10-K10-L10-M10-N10-O10-P10-Q10-R10-S10-T10-U10</f>
        <v>20</v>
      </c>
      <c r="W10" s="507">
        <f t="shared" ref="W10:W73" si="0">G10*V10</f>
        <v>121827.41116751268</v>
      </c>
    </row>
    <row r="11" spans="1:23" ht="15.6" x14ac:dyDescent="0.25">
      <c r="A11" s="526">
        <v>2</v>
      </c>
      <c r="B11" s="527" t="s">
        <v>762</v>
      </c>
      <c r="C11" s="527"/>
      <c r="D11" s="528">
        <v>16</v>
      </c>
      <c r="E11" s="218" t="s">
        <v>606</v>
      </c>
      <c r="F11" s="211">
        <v>110000</v>
      </c>
      <c r="G11" s="507">
        <f t="shared" ref="G11:G56" si="1">F11/21.67</f>
        <v>5076.1421319796955</v>
      </c>
      <c r="H11" s="529">
        <v>30</v>
      </c>
      <c r="I11" s="229">
        <f t="shared" ref="I11:I74" si="2">D11+H11</f>
        <v>46</v>
      </c>
      <c r="J11" s="231"/>
      <c r="K11" s="231"/>
      <c r="L11" s="218"/>
      <c r="M11" s="218">
        <v>24</v>
      </c>
      <c r="N11" s="218"/>
      <c r="O11" s="218"/>
      <c r="P11" s="218"/>
      <c r="Q11" s="218"/>
      <c r="R11" s="218"/>
      <c r="S11" s="218"/>
      <c r="T11" s="218"/>
      <c r="U11" s="218"/>
      <c r="V11" s="229">
        <f t="shared" ref="V11:V74" si="3">I11-J11-K11-L11-M11-N11-O11-P11-Q11-R11-S11-T11-U11</f>
        <v>22</v>
      </c>
      <c r="W11" s="507">
        <f t="shared" si="0"/>
        <v>111675.1269035533</v>
      </c>
    </row>
    <row r="12" spans="1:23" ht="15.6" x14ac:dyDescent="0.25">
      <c r="A12" s="526">
        <v>3</v>
      </c>
      <c r="B12" s="527" t="s">
        <v>763</v>
      </c>
      <c r="C12" s="527"/>
      <c r="D12" s="528">
        <v>0</v>
      </c>
      <c r="E12" s="218" t="s">
        <v>620</v>
      </c>
      <c r="F12" s="211">
        <v>28000</v>
      </c>
      <c r="G12" s="507">
        <f t="shared" si="1"/>
        <v>1292.1089063221043</v>
      </c>
      <c r="H12" s="529">
        <v>30</v>
      </c>
      <c r="I12" s="229">
        <f t="shared" si="2"/>
        <v>30</v>
      </c>
      <c r="J12" s="231"/>
      <c r="K12" s="231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29">
        <f t="shared" si="3"/>
        <v>30</v>
      </c>
      <c r="W12" s="507">
        <f t="shared" si="0"/>
        <v>38763.267189663129</v>
      </c>
    </row>
    <row r="13" spans="1:23" ht="15.6" x14ac:dyDescent="0.25">
      <c r="A13" s="522">
        <v>4</v>
      </c>
      <c r="B13" s="530" t="s">
        <v>607</v>
      </c>
      <c r="C13" s="207" t="str">
        <f>VLOOKUP(B13,[1]Junio!$A$4:$A$23,1,0)</f>
        <v>ANA ILDA NUÑEZ BATISTA</v>
      </c>
      <c r="D13" s="528">
        <v>0</v>
      </c>
      <c r="E13" s="218" t="s">
        <v>608</v>
      </c>
      <c r="F13" s="211">
        <v>120000</v>
      </c>
      <c r="G13" s="507">
        <f t="shared" si="1"/>
        <v>5537.6095985233032</v>
      </c>
      <c r="H13" s="529">
        <v>25</v>
      </c>
      <c r="I13" s="229">
        <f t="shared" si="2"/>
        <v>25</v>
      </c>
      <c r="J13" s="231"/>
      <c r="K13" s="231">
        <v>5</v>
      </c>
      <c r="L13" s="218"/>
      <c r="M13" s="218"/>
      <c r="N13" s="218"/>
      <c r="O13" s="531">
        <v>1</v>
      </c>
      <c r="P13" s="218"/>
      <c r="Q13" s="218"/>
      <c r="R13" s="218"/>
      <c r="S13" s="218"/>
      <c r="T13" s="218"/>
      <c r="U13" s="218"/>
      <c r="V13" s="229">
        <f t="shared" si="3"/>
        <v>19</v>
      </c>
      <c r="W13" s="507">
        <f t="shared" si="0"/>
        <v>105214.58237194276</v>
      </c>
    </row>
    <row r="14" spans="1:23" ht="15.6" x14ac:dyDescent="0.25">
      <c r="A14" s="526">
        <v>5</v>
      </c>
      <c r="B14" s="530" t="s">
        <v>764</v>
      </c>
      <c r="C14" s="530"/>
      <c r="D14" s="528">
        <v>4</v>
      </c>
      <c r="E14" s="218" t="s">
        <v>609</v>
      </c>
      <c r="F14" s="211">
        <v>66000</v>
      </c>
      <c r="G14" s="507">
        <f t="shared" si="1"/>
        <v>3045.6852791878168</v>
      </c>
      <c r="H14" s="529">
        <v>20</v>
      </c>
      <c r="I14" s="229">
        <f t="shared" si="2"/>
        <v>24</v>
      </c>
      <c r="J14" s="231">
        <v>3</v>
      </c>
      <c r="K14" s="231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29">
        <f t="shared" si="3"/>
        <v>21</v>
      </c>
      <c r="W14" s="507">
        <f t="shared" si="0"/>
        <v>63959.39086294415</v>
      </c>
    </row>
    <row r="15" spans="1:23" ht="15.6" x14ac:dyDescent="0.25">
      <c r="A15" s="526">
        <v>6</v>
      </c>
      <c r="B15" s="527" t="s">
        <v>610</v>
      </c>
      <c r="C15" s="527"/>
      <c r="D15" s="528">
        <v>15</v>
      </c>
      <c r="E15" s="218" t="s">
        <v>621</v>
      </c>
      <c r="F15" s="211">
        <v>110000</v>
      </c>
      <c r="G15" s="507">
        <f t="shared" si="1"/>
        <v>5076.1421319796955</v>
      </c>
      <c r="H15" s="529">
        <v>15</v>
      </c>
      <c r="I15" s="229">
        <f t="shared" si="2"/>
        <v>30</v>
      </c>
      <c r="J15" s="231"/>
      <c r="K15" s="231"/>
      <c r="L15" s="218"/>
      <c r="M15" s="218">
        <v>10</v>
      </c>
      <c r="N15" s="218"/>
      <c r="O15" s="218"/>
      <c r="P15" s="218"/>
      <c r="Q15" s="218"/>
      <c r="R15" s="218"/>
      <c r="S15" s="218"/>
      <c r="T15" s="218"/>
      <c r="U15" s="218"/>
      <c r="V15" s="229">
        <f t="shared" si="3"/>
        <v>20</v>
      </c>
      <c r="W15" s="507">
        <f t="shared" si="0"/>
        <v>101522.8426395939</v>
      </c>
    </row>
    <row r="16" spans="1:23" ht="15.6" x14ac:dyDescent="0.25">
      <c r="A16" s="522">
        <v>7</v>
      </c>
      <c r="B16" s="527" t="s">
        <v>611</v>
      </c>
      <c r="C16" s="527"/>
      <c r="D16" s="528">
        <v>25</v>
      </c>
      <c r="E16" s="218" t="s">
        <v>356</v>
      </c>
      <c r="F16" s="211">
        <v>132000</v>
      </c>
      <c r="G16" s="507">
        <f t="shared" si="1"/>
        <v>6091.3705583756337</v>
      </c>
      <c r="H16" s="529">
        <v>30</v>
      </c>
      <c r="I16" s="229">
        <f t="shared" si="2"/>
        <v>55</v>
      </c>
      <c r="J16" s="231"/>
      <c r="K16" s="231"/>
      <c r="L16" s="218">
        <v>5</v>
      </c>
      <c r="M16" s="218"/>
      <c r="N16" s="218">
        <v>10</v>
      </c>
      <c r="O16" s="218"/>
      <c r="P16" s="218"/>
      <c r="Q16" s="218"/>
      <c r="R16" s="218"/>
      <c r="S16" s="218"/>
      <c r="T16" s="218"/>
      <c r="U16" s="218"/>
      <c r="V16" s="229">
        <f t="shared" si="3"/>
        <v>40</v>
      </c>
      <c r="W16" s="507">
        <f t="shared" si="0"/>
        <v>243654.82233502535</v>
      </c>
    </row>
    <row r="17" spans="1:23" ht="15.6" x14ac:dyDescent="0.25">
      <c r="A17" s="526">
        <v>8</v>
      </c>
      <c r="B17" s="527" t="s">
        <v>612</v>
      </c>
      <c r="C17" s="527"/>
      <c r="D17" s="528">
        <v>14</v>
      </c>
      <c r="E17" s="218" t="s">
        <v>613</v>
      </c>
      <c r="F17" s="211">
        <v>24000</v>
      </c>
      <c r="G17" s="507">
        <f t="shared" si="1"/>
        <v>1107.5219197046608</v>
      </c>
      <c r="H17" s="529">
        <v>30</v>
      </c>
      <c r="I17" s="229">
        <f t="shared" si="2"/>
        <v>44</v>
      </c>
      <c r="J17" s="231"/>
      <c r="K17" s="231">
        <v>10</v>
      </c>
      <c r="L17" s="218"/>
      <c r="M17" s="218"/>
      <c r="N17" s="218">
        <v>29</v>
      </c>
      <c r="O17" s="218"/>
      <c r="P17" s="218"/>
      <c r="Q17" s="218"/>
      <c r="R17" s="218"/>
      <c r="S17" s="218"/>
      <c r="T17" s="218"/>
      <c r="U17" s="218"/>
      <c r="V17" s="229">
        <f t="shared" si="3"/>
        <v>5</v>
      </c>
      <c r="W17" s="507">
        <f t="shared" si="0"/>
        <v>5537.6095985233042</v>
      </c>
    </row>
    <row r="18" spans="1:23" ht="15.6" x14ac:dyDescent="0.25">
      <c r="A18" s="526">
        <v>9</v>
      </c>
      <c r="B18" s="530" t="s">
        <v>765</v>
      </c>
      <c r="C18" s="207" t="str">
        <f>VLOOKUP(B18,[1]Junio!$A$4:$A$23,1,0)</f>
        <v>CELIA MASSIEL CUEVAS JIMENEZ</v>
      </c>
      <c r="D18" s="528">
        <v>0</v>
      </c>
      <c r="E18" s="218" t="s">
        <v>609</v>
      </c>
      <c r="F18" s="211">
        <v>66000</v>
      </c>
      <c r="G18" s="507">
        <f t="shared" si="1"/>
        <v>3045.6852791878168</v>
      </c>
      <c r="H18" s="529">
        <v>20</v>
      </c>
      <c r="I18" s="229">
        <f t="shared" si="2"/>
        <v>20</v>
      </c>
      <c r="J18" s="231"/>
      <c r="K18" s="231">
        <v>6</v>
      </c>
      <c r="L18" s="218"/>
      <c r="M18" s="218"/>
      <c r="N18" s="218"/>
      <c r="O18" s="531">
        <v>2</v>
      </c>
      <c r="P18" s="218"/>
      <c r="Q18" s="218"/>
      <c r="R18" s="218"/>
      <c r="S18" s="218"/>
      <c r="T18" s="218"/>
      <c r="U18" s="218"/>
      <c r="V18" s="229">
        <f t="shared" si="3"/>
        <v>12</v>
      </c>
      <c r="W18" s="507">
        <f t="shared" si="0"/>
        <v>36548.2233502538</v>
      </c>
    </row>
    <row r="19" spans="1:23" ht="15.6" x14ac:dyDescent="0.25">
      <c r="A19" s="522">
        <v>10</v>
      </c>
      <c r="B19" s="527" t="s">
        <v>614</v>
      </c>
      <c r="C19" s="207" t="e">
        <f>VLOOKUP(B19,[1]Junio!$A$4:$A$23,1,0)</f>
        <v>#N/A</v>
      </c>
      <c r="D19" s="528">
        <v>0</v>
      </c>
      <c r="E19" s="218" t="s">
        <v>356</v>
      </c>
      <c r="F19" s="211">
        <v>132000</v>
      </c>
      <c r="G19" s="507">
        <f t="shared" si="1"/>
        <v>6091.3705583756337</v>
      </c>
      <c r="H19" s="529">
        <v>25</v>
      </c>
      <c r="I19" s="229">
        <f t="shared" si="2"/>
        <v>25</v>
      </c>
      <c r="J19" s="231"/>
      <c r="K19" s="231"/>
      <c r="L19" s="218"/>
      <c r="M19" s="218"/>
      <c r="N19" s="218"/>
      <c r="O19" s="531">
        <v>1</v>
      </c>
      <c r="P19" s="218"/>
      <c r="Q19" s="218"/>
      <c r="R19" s="218"/>
      <c r="S19" s="218"/>
      <c r="T19" s="218"/>
      <c r="U19" s="218"/>
      <c r="V19" s="229">
        <f t="shared" si="3"/>
        <v>24</v>
      </c>
      <c r="W19" s="507">
        <f t="shared" si="0"/>
        <v>146192.8934010152</v>
      </c>
    </row>
    <row r="20" spans="1:23" ht="15.6" x14ac:dyDescent="0.25">
      <c r="A20" s="526">
        <v>11</v>
      </c>
      <c r="B20" s="532" t="s">
        <v>615</v>
      </c>
      <c r="C20" s="532"/>
      <c r="D20" s="528">
        <v>0</v>
      </c>
      <c r="E20" s="218" t="s">
        <v>613</v>
      </c>
      <c r="F20" s="211">
        <v>22000</v>
      </c>
      <c r="G20" s="507">
        <f t="shared" si="1"/>
        <v>1015.228426395939</v>
      </c>
      <c r="H20" s="529">
        <v>15</v>
      </c>
      <c r="I20" s="229">
        <f t="shared" si="2"/>
        <v>15</v>
      </c>
      <c r="J20" s="231"/>
      <c r="K20" s="231"/>
      <c r="L20" s="218"/>
      <c r="M20" s="218">
        <v>15</v>
      </c>
      <c r="N20" s="218"/>
      <c r="O20" s="218"/>
      <c r="P20" s="218"/>
      <c r="Q20" s="218"/>
      <c r="R20" s="218"/>
      <c r="S20" s="218"/>
      <c r="T20" s="218"/>
      <c r="U20" s="218"/>
      <c r="V20" s="229">
        <f t="shared" si="3"/>
        <v>0</v>
      </c>
      <c r="W20" s="507">
        <f t="shared" si="0"/>
        <v>0</v>
      </c>
    </row>
    <row r="21" spans="1:23" ht="15.6" x14ac:dyDescent="0.25">
      <c r="A21" s="526">
        <v>12</v>
      </c>
      <c r="B21" s="530" t="s">
        <v>616</v>
      </c>
      <c r="C21" s="530"/>
      <c r="D21" s="528">
        <v>10</v>
      </c>
      <c r="E21" s="218" t="s">
        <v>617</v>
      </c>
      <c r="F21" s="211">
        <v>95000</v>
      </c>
      <c r="G21" s="507">
        <f t="shared" si="1"/>
        <v>4383.9409321642825</v>
      </c>
      <c r="H21" s="529">
        <v>15</v>
      </c>
      <c r="I21" s="229">
        <f t="shared" si="2"/>
        <v>25</v>
      </c>
      <c r="J21" s="231"/>
      <c r="K21" s="231"/>
      <c r="L21" s="218"/>
      <c r="M21" s="218">
        <v>15</v>
      </c>
      <c r="N21" s="218"/>
      <c r="O21" s="218"/>
      <c r="P21" s="218"/>
      <c r="Q21" s="218"/>
      <c r="R21" s="218"/>
      <c r="S21" s="218"/>
      <c r="T21" s="218"/>
      <c r="U21" s="218"/>
      <c r="V21" s="229">
        <f t="shared" si="3"/>
        <v>10</v>
      </c>
      <c r="W21" s="507">
        <f t="shared" si="0"/>
        <v>43839.409321642823</v>
      </c>
    </row>
    <row r="22" spans="1:23" ht="15.6" x14ac:dyDescent="0.25">
      <c r="A22" s="522">
        <v>13</v>
      </c>
      <c r="B22" s="527" t="s">
        <v>766</v>
      </c>
      <c r="C22" s="527"/>
      <c r="D22" s="528">
        <v>7</v>
      </c>
      <c r="E22" s="218" t="s">
        <v>609</v>
      </c>
      <c r="F22" s="211">
        <v>66000</v>
      </c>
      <c r="G22" s="507">
        <f t="shared" si="1"/>
        <v>3045.6852791878168</v>
      </c>
      <c r="H22" s="529">
        <v>15</v>
      </c>
      <c r="I22" s="229">
        <f t="shared" si="2"/>
        <v>22</v>
      </c>
      <c r="J22" s="231"/>
      <c r="K22" s="231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29">
        <f t="shared" si="3"/>
        <v>22</v>
      </c>
      <c r="W22" s="507">
        <f t="shared" si="0"/>
        <v>67005.076142131977</v>
      </c>
    </row>
    <row r="23" spans="1:23" ht="15.6" x14ac:dyDescent="0.25">
      <c r="A23" s="526">
        <v>14</v>
      </c>
      <c r="B23" s="527" t="s">
        <v>618</v>
      </c>
      <c r="C23" s="527"/>
      <c r="D23" s="528">
        <v>25</v>
      </c>
      <c r="E23" s="218" t="s">
        <v>609</v>
      </c>
      <c r="F23" s="211">
        <v>85000</v>
      </c>
      <c r="G23" s="507">
        <f t="shared" si="1"/>
        <v>3922.4734656206733</v>
      </c>
      <c r="H23" s="529">
        <v>30</v>
      </c>
      <c r="I23" s="229">
        <f t="shared" si="2"/>
        <v>55</v>
      </c>
      <c r="J23" s="231"/>
      <c r="K23" s="231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29">
        <f t="shared" si="3"/>
        <v>55</v>
      </c>
      <c r="W23" s="507">
        <f t="shared" si="0"/>
        <v>215736.04060913704</v>
      </c>
    </row>
    <row r="24" spans="1:23" ht="15.6" x14ac:dyDescent="0.25">
      <c r="A24" s="526">
        <v>15</v>
      </c>
      <c r="B24" s="527" t="s">
        <v>619</v>
      </c>
      <c r="C24" s="207" t="str">
        <f>VLOOKUP(B24,[1]Junio!$A$4:$A$23,1,0)</f>
        <v>DOMINGO ALBERTO RODRIGUEZ</v>
      </c>
      <c r="D24" s="528">
        <v>0</v>
      </c>
      <c r="E24" s="218" t="s">
        <v>620</v>
      </c>
      <c r="F24" s="211">
        <v>27500</v>
      </c>
      <c r="G24" s="507">
        <f t="shared" si="1"/>
        <v>1269.0355329949239</v>
      </c>
      <c r="H24" s="529">
        <v>15</v>
      </c>
      <c r="I24" s="229">
        <f t="shared" si="2"/>
        <v>15</v>
      </c>
      <c r="J24" s="231"/>
      <c r="K24" s="231"/>
      <c r="L24" s="218"/>
      <c r="M24" s="218"/>
      <c r="N24" s="218"/>
      <c r="O24" s="531">
        <v>5</v>
      </c>
      <c r="P24" s="218"/>
      <c r="Q24" s="218"/>
      <c r="R24" s="218"/>
      <c r="S24" s="218"/>
      <c r="T24" s="218"/>
      <c r="U24" s="218"/>
      <c r="V24" s="229">
        <f t="shared" si="3"/>
        <v>10</v>
      </c>
      <c r="W24" s="507">
        <f t="shared" si="0"/>
        <v>12690.355329949238</v>
      </c>
    </row>
    <row r="25" spans="1:23" ht="15.6" x14ac:dyDescent="0.25">
      <c r="A25" s="522">
        <v>16</v>
      </c>
      <c r="B25" s="527" t="s">
        <v>767</v>
      </c>
      <c r="C25" s="527"/>
      <c r="D25" s="528">
        <v>20</v>
      </c>
      <c r="E25" s="218" t="s">
        <v>621</v>
      </c>
      <c r="F25" s="211">
        <v>110000</v>
      </c>
      <c r="G25" s="507">
        <f t="shared" si="1"/>
        <v>5076.1421319796955</v>
      </c>
      <c r="H25" s="529">
        <v>20</v>
      </c>
      <c r="I25" s="229">
        <f t="shared" si="2"/>
        <v>40</v>
      </c>
      <c r="J25" s="231"/>
      <c r="K25" s="231"/>
      <c r="L25" s="218">
        <v>3</v>
      </c>
      <c r="M25" s="218">
        <v>5</v>
      </c>
      <c r="N25" s="218"/>
      <c r="O25" s="218"/>
      <c r="P25" s="218"/>
      <c r="Q25" s="218"/>
      <c r="R25" s="218"/>
      <c r="S25" s="218"/>
      <c r="T25" s="218"/>
      <c r="U25" s="218"/>
      <c r="V25" s="229">
        <f t="shared" si="3"/>
        <v>32</v>
      </c>
      <c r="W25" s="507">
        <f t="shared" si="0"/>
        <v>162436.54822335026</v>
      </c>
    </row>
    <row r="26" spans="1:23" ht="15.6" x14ac:dyDescent="0.25">
      <c r="A26" s="526">
        <v>17</v>
      </c>
      <c r="B26" s="527" t="s">
        <v>768</v>
      </c>
      <c r="C26" s="527"/>
      <c r="D26" s="528">
        <v>0</v>
      </c>
      <c r="E26" s="218" t="s">
        <v>842</v>
      </c>
      <c r="F26" s="211">
        <v>110000</v>
      </c>
      <c r="G26" s="507">
        <f t="shared" si="1"/>
        <v>5076.1421319796955</v>
      </c>
      <c r="H26" s="529">
        <v>30</v>
      </c>
      <c r="I26" s="229">
        <f t="shared" si="2"/>
        <v>30</v>
      </c>
      <c r="J26" s="231"/>
      <c r="K26" s="231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29">
        <f t="shared" si="3"/>
        <v>30</v>
      </c>
      <c r="W26" s="507">
        <f t="shared" si="0"/>
        <v>152284.26395939087</v>
      </c>
    </row>
    <row r="27" spans="1:23" ht="15.6" x14ac:dyDescent="0.25">
      <c r="A27" s="526">
        <v>18</v>
      </c>
      <c r="B27" s="527" t="s">
        <v>769</v>
      </c>
      <c r="C27" s="527"/>
      <c r="D27" s="528">
        <v>4</v>
      </c>
      <c r="E27" s="218" t="s">
        <v>622</v>
      </c>
      <c r="F27" s="211">
        <v>33000</v>
      </c>
      <c r="G27" s="507">
        <f t="shared" si="1"/>
        <v>1522.8426395939084</v>
      </c>
      <c r="H27" s="529">
        <v>15</v>
      </c>
      <c r="I27" s="229">
        <f t="shared" si="2"/>
        <v>19</v>
      </c>
      <c r="J27" s="231"/>
      <c r="K27" s="231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29">
        <f t="shared" si="3"/>
        <v>19</v>
      </c>
      <c r="W27" s="507">
        <f t="shared" si="0"/>
        <v>28934.01015228426</v>
      </c>
    </row>
    <row r="28" spans="1:23" ht="15.6" x14ac:dyDescent="0.25">
      <c r="A28" s="522">
        <v>19</v>
      </c>
      <c r="B28" s="530" t="s">
        <v>623</v>
      </c>
      <c r="C28" s="530"/>
      <c r="D28" s="528">
        <v>20</v>
      </c>
      <c r="E28" s="218" t="s">
        <v>624</v>
      </c>
      <c r="F28" s="211">
        <v>49500</v>
      </c>
      <c r="G28" s="507">
        <f t="shared" si="1"/>
        <v>2284.263959390863</v>
      </c>
      <c r="H28" s="529">
        <v>25</v>
      </c>
      <c r="I28" s="229">
        <f t="shared" si="2"/>
        <v>45</v>
      </c>
      <c r="J28" s="231"/>
      <c r="K28" s="231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29">
        <f t="shared" si="3"/>
        <v>45</v>
      </c>
      <c r="W28" s="507">
        <f t="shared" si="0"/>
        <v>102791.87817258884</v>
      </c>
    </row>
    <row r="29" spans="1:23" ht="15.6" x14ac:dyDescent="0.25">
      <c r="A29" s="526">
        <v>20</v>
      </c>
      <c r="B29" s="527" t="s">
        <v>770</v>
      </c>
      <c r="C29" s="527"/>
      <c r="D29" s="528">
        <v>0</v>
      </c>
      <c r="E29" s="218" t="s">
        <v>620</v>
      </c>
      <c r="F29" s="211">
        <v>31500</v>
      </c>
      <c r="G29" s="507">
        <f t="shared" si="1"/>
        <v>1453.6225196123671</v>
      </c>
      <c r="H29" s="529">
        <v>30</v>
      </c>
      <c r="I29" s="229">
        <f t="shared" si="2"/>
        <v>30</v>
      </c>
      <c r="J29" s="231"/>
      <c r="K29" s="231">
        <v>15</v>
      </c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29">
        <f t="shared" si="3"/>
        <v>15</v>
      </c>
      <c r="W29" s="507">
        <f t="shared" si="0"/>
        <v>21804.337794185507</v>
      </c>
    </row>
    <row r="30" spans="1:23" ht="15.6" x14ac:dyDescent="0.25">
      <c r="A30" s="526">
        <v>21</v>
      </c>
      <c r="B30" s="527" t="s">
        <v>625</v>
      </c>
      <c r="C30" s="527"/>
      <c r="D30" s="528">
        <v>24</v>
      </c>
      <c r="E30" s="218" t="s">
        <v>626</v>
      </c>
      <c r="F30" s="211">
        <v>120000</v>
      </c>
      <c r="G30" s="507">
        <f t="shared" si="1"/>
        <v>5537.6095985233032</v>
      </c>
      <c r="H30" s="529">
        <v>30</v>
      </c>
      <c r="I30" s="229">
        <f t="shared" si="2"/>
        <v>54</v>
      </c>
      <c r="J30" s="231"/>
      <c r="K30" s="231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29">
        <f t="shared" si="3"/>
        <v>54</v>
      </c>
      <c r="W30" s="507">
        <f t="shared" si="0"/>
        <v>299030.91832025838</v>
      </c>
    </row>
    <row r="31" spans="1:23" ht="15.6" x14ac:dyDescent="0.25">
      <c r="A31" s="522">
        <v>22</v>
      </c>
      <c r="B31" s="527" t="s">
        <v>627</v>
      </c>
      <c r="C31" s="527"/>
      <c r="D31" s="528">
        <v>0</v>
      </c>
      <c r="E31" s="218" t="s">
        <v>622</v>
      </c>
      <c r="F31" s="211">
        <v>33000</v>
      </c>
      <c r="G31" s="507">
        <f t="shared" si="1"/>
        <v>1522.8426395939084</v>
      </c>
      <c r="H31" s="529">
        <v>20</v>
      </c>
      <c r="I31" s="229">
        <f t="shared" si="2"/>
        <v>20</v>
      </c>
      <c r="J31" s="231"/>
      <c r="K31" s="231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29">
        <f t="shared" si="3"/>
        <v>20</v>
      </c>
      <c r="W31" s="507">
        <f t="shared" si="0"/>
        <v>30456.852791878169</v>
      </c>
    </row>
    <row r="32" spans="1:23" ht="15.6" x14ac:dyDescent="0.25">
      <c r="A32" s="526">
        <v>23</v>
      </c>
      <c r="B32" s="527" t="s">
        <v>628</v>
      </c>
      <c r="C32" s="527"/>
      <c r="D32" s="528">
        <v>18</v>
      </c>
      <c r="E32" s="218" t="s">
        <v>629</v>
      </c>
      <c r="F32" s="211">
        <v>110000</v>
      </c>
      <c r="G32" s="507">
        <f t="shared" si="1"/>
        <v>5076.1421319796955</v>
      </c>
      <c r="H32" s="529">
        <v>25</v>
      </c>
      <c r="I32" s="229">
        <f t="shared" si="2"/>
        <v>43</v>
      </c>
      <c r="J32" s="231"/>
      <c r="K32" s="231">
        <v>8</v>
      </c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29">
        <f t="shared" si="3"/>
        <v>35</v>
      </c>
      <c r="W32" s="507">
        <f t="shared" si="0"/>
        <v>177664.97461928934</v>
      </c>
    </row>
    <row r="33" spans="1:23" ht="15.6" x14ac:dyDescent="0.25">
      <c r="A33" s="526">
        <v>24</v>
      </c>
      <c r="B33" s="527" t="s">
        <v>630</v>
      </c>
      <c r="C33" s="527"/>
      <c r="D33" s="528">
        <v>15</v>
      </c>
      <c r="E33" s="218" t="s">
        <v>631</v>
      </c>
      <c r="F33" s="211">
        <v>100000</v>
      </c>
      <c r="G33" s="507">
        <f t="shared" si="1"/>
        <v>4614.6746654360868</v>
      </c>
      <c r="H33" s="529">
        <v>25</v>
      </c>
      <c r="I33" s="229">
        <f t="shared" si="2"/>
        <v>40</v>
      </c>
      <c r="J33" s="231">
        <v>15</v>
      </c>
      <c r="K33" s="231"/>
      <c r="L33" s="218"/>
      <c r="M33" s="218">
        <v>10</v>
      </c>
      <c r="N33" s="218"/>
      <c r="O33" s="218"/>
      <c r="P33" s="218"/>
      <c r="Q33" s="218"/>
      <c r="R33" s="218"/>
      <c r="S33" s="218"/>
      <c r="T33" s="218"/>
      <c r="U33" s="218"/>
      <c r="V33" s="229">
        <f t="shared" si="3"/>
        <v>15</v>
      </c>
      <c r="W33" s="507">
        <f t="shared" si="0"/>
        <v>69220.119981541298</v>
      </c>
    </row>
    <row r="34" spans="1:23" ht="15.6" x14ac:dyDescent="0.25">
      <c r="A34" s="522">
        <v>25</v>
      </c>
      <c r="B34" s="527" t="s">
        <v>771</v>
      </c>
      <c r="C34" s="527"/>
      <c r="D34" s="528">
        <v>10</v>
      </c>
      <c r="E34" s="218" t="s">
        <v>613</v>
      </c>
      <c r="F34" s="211">
        <v>24000</v>
      </c>
      <c r="G34" s="507">
        <f t="shared" si="1"/>
        <v>1107.5219197046608</v>
      </c>
      <c r="H34" s="529">
        <v>30</v>
      </c>
      <c r="I34" s="229">
        <f t="shared" si="2"/>
        <v>40</v>
      </c>
      <c r="J34" s="231"/>
      <c r="K34" s="231"/>
      <c r="L34" s="218"/>
      <c r="M34" s="218">
        <v>1</v>
      </c>
      <c r="N34" s="218">
        <v>1</v>
      </c>
      <c r="O34" s="218"/>
      <c r="P34" s="218"/>
      <c r="Q34" s="218"/>
      <c r="R34" s="218"/>
      <c r="S34" s="218"/>
      <c r="T34" s="218"/>
      <c r="U34" s="218"/>
      <c r="V34" s="229">
        <f t="shared" si="3"/>
        <v>38</v>
      </c>
      <c r="W34" s="507">
        <f t="shared" si="0"/>
        <v>42085.832948777112</v>
      </c>
    </row>
    <row r="35" spans="1:23" ht="15.6" x14ac:dyDescent="0.25">
      <c r="A35" s="526">
        <v>26</v>
      </c>
      <c r="B35" s="527" t="s">
        <v>632</v>
      </c>
      <c r="C35" s="527"/>
      <c r="D35" s="528">
        <v>12</v>
      </c>
      <c r="E35" s="218" t="s">
        <v>605</v>
      </c>
      <c r="F35" s="211">
        <v>132000</v>
      </c>
      <c r="G35" s="507">
        <f t="shared" si="1"/>
        <v>6091.3705583756337</v>
      </c>
      <c r="H35" s="529">
        <v>30</v>
      </c>
      <c r="I35" s="229">
        <f t="shared" si="2"/>
        <v>42</v>
      </c>
      <c r="J35" s="231"/>
      <c r="K35" s="231">
        <v>13</v>
      </c>
      <c r="L35" s="218"/>
      <c r="M35" s="218"/>
      <c r="N35" s="218">
        <v>11</v>
      </c>
      <c r="O35" s="218"/>
      <c r="P35" s="218"/>
      <c r="Q35" s="218"/>
      <c r="R35" s="218"/>
      <c r="S35" s="218"/>
      <c r="T35" s="218"/>
      <c r="U35" s="218"/>
      <c r="V35" s="229">
        <f t="shared" si="3"/>
        <v>18</v>
      </c>
      <c r="W35" s="507">
        <f t="shared" si="0"/>
        <v>109644.6700507614</v>
      </c>
    </row>
    <row r="36" spans="1:23" ht="15.6" x14ac:dyDescent="0.25">
      <c r="A36" s="526">
        <v>27</v>
      </c>
      <c r="B36" s="530" t="s">
        <v>633</v>
      </c>
      <c r="C36" s="530"/>
      <c r="D36" s="528">
        <v>3</v>
      </c>
      <c r="E36" s="218" t="s">
        <v>356</v>
      </c>
      <c r="F36" s="211">
        <v>132000</v>
      </c>
      <c r="G36" s="507">
        <f t="shared" si="1"/>
        <v>6091.3705583756337</v>
      </c>
      <c r="H36" s="529">
        <v>20</v>
      </c>
      <c r="I36" s="229">
        <f t="shared" si="2"/>
        <v>23</v>
      </c>
      <c r="J36" s="231">
        <v>3</v>
      </c>
      <c r="K36" s="231"/>
      <c r="L36" s="218"/>
      <c r="M36" s="218">
        <v>4</v>
      </c>
      <c r="N36" s="218">
        <v>4</v>
      </c>
      <c r="O36" s="218"/>
      <c r="P36" s="218"/>
      <c r="Q36" s="218"/>
      <c r="R36" s="218"/>
      <c r="S36" s="218"/>
      <c r="T36" s="218"/>
      <c r="U36" s="218"/>
      <c r="V36" s="229">
        <f t="shared" si="3"/>
        <v>12</v>
      </c>
      <c r="W36" s="507">
        <f t="shared" si="0"/>
        <v>73096.4467005076</v>
      </c>
    </row>
    <row r="37" spans="1:23" ht="15.6" x14ac:dyDescent="0.25">
      <c r="A37" s="522">
        <v>28</v>
      </c>
      <c r="B37" s="527" t="s">
        <v>634</v>
      </c>
      <c r="C37" s="527"/>
      <c r="D37" s="528">
        <v>15</v>
      </c>
      <c r="E37" s="218" t="s">
        <v>620</v>
      </c>
      <c r="F37" s="211">
        <v>27500</v>
      </c>
      <c r="G37" s="507">
        <f t="shared" si="1"/>
        <v>1269.0355329949239</v>
      </c>
      <c r="H37" s="529">
        <v>15</v>
      </c>
      <c r="I37" s="229">
        <f t="shared" si="2"/>
        <v>30</v>
      </c>
      <c r="J37" s="231">
        <v>5</v>
      </c>
      <c r="K37" s="231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29">
        <f t="shared" si="3"/>
        <v>25</v>
      </c>
      <c r="W37" s="507">
        <f t="shared" si="0"/>
        <v>31725.888324873096</v>
      </c>
    </row>
    <row r="38" spans="1:23" ht="15.6" x14ac:dyDescent="0.25">
      <c r="A38" s="526">
        <v>29</v>
      </c>
      <c r="B38" s="527" t="s">
        <v>772</v>
      </c>
      <c r="C38" s="207" t="str">
        <f>VLOOKUP(B38,[1]Junio!$A$4:$A$23,1,0)</f>
        <v>FREILYN LIZETH PEREZ DIAZ</v>
      </c>
      <c r="D38" s="528">
        <v>4</v>
      </c>
      <c r="E38" s="218" t="s">
        <v>635</v>
      </c>
      <c r="F38" s="211">
        <v>49500</v>
      </c>
      <c r="G38" s="507">
        <f t="shared" si="1"/>
        <v>2284.263959390863</v>
      </c>
      <c r="H38" s="529">
        <v>30</v>
      </c>
      <c r="I38" s="229">
        <f t="shared" si="2"/>
        <v>34</v>
      </c>
      <c r="J38" s="231"/>
      <c r="K38" s="231">
        <v>5</v>
      </c>
      <c r="L38" s="218"/>
      <c r="M38" s="218"/>
      <c r="N38" s="218"/>
      <c r="O38" s="531">
        <v>15</v>
      </c>
      <c r="P38" s="218"/>
      <c r="Q38" s="218"/>
      <c r="R38" s="218"/>
      <c r="S38" s="218"/>
      <c r="T38" s="218"/>
      <c r="U38" s="218"/>
      <c r="V38" s="229">
        <f t="shared" si="3"/>
        <v>14</v>
      </c>
      <c r="W38" s="507">
        <f t="shared" si="0"/>
        <v>31979.695431472082</v>
      </c>
    </row>
    <row r="39" spans="1:23" ht="15.6" x14ac:dyDescent="0.25">
      <c r="A39" s="526">
        <v>30</v>
      </c>
      <c r="B39" s="532" t="s">
        <v>773</v>
      </c>
      <c r="C39" s="207" t="str">
        <f>VLOOKUP(B39,[1]Junio!$A$4:$A$23,1,0)</f>
        <v>GERMAINE DANIELLE GAZON ROSARIO</v>
      </c>
      <c r="D39" s="528">
        <v>3</v>
      </c>
      <c r="E39" s="218" t="s">
        <v>621</v>
      </c>
      <c r="F39" s="211">
        <v>115000</v>
      </c>
      <c r="G39" s="507">
        <f t="shared" si="1"/>
        <v>5306.8758652514989</v>
      </c>
      <c r="H39" s="529">
        <v>15</v>
      </c>
      <c r="I39" s="229">
        <f t="shared" si="2"/>
        <v>18</v>
      </c>
      <c r="J39" s="231"/>
      <c r="K39" s="231"/>
      <c r="L39" s="218"/>
      <c r="M39" s="218"/>
      <c r="N39" s="218"/>
      <c r="O39" s="531">
        <v>2</v>
      </c>
      <c r="P39" s="218"/>
      <c r="Q39" s="218"/>
      <c r="R39" s="218"/>
      <c r="S39" s="218"/>
      <c r="T39" s="218"/>
      <c r="U39" s="218"/>
      <c r="V39" s="229">
        <f t="shared" si="3"/>
        <v>16</v>
      </c>
      <c r="W39" s="507">
        <f t="shared" si="0"/>
        <v>84910.013844023983</v>
      </c>
    </row>
    <row r="40" spans="1:23" ht="15.6" x14ac:dyDescent="0.25">
      <c r="A40" s="522">
        <v>31</v>
      </c>
      <c r="B40" s="527" t="s">
        <v>636</v>
      </c>
      <c r="C40" s="527"/>
      <c r="D40" s="528">
        <v>14</v>
      </c>
      <c r="E40" s="218" t="s">
        <v>637</v>
      </c>
      <c r="F40" s="211">
        <v>22000</v>
      </c>
      <c r="G40" s="507">
        <f t="shared" si="1"/>
        <v>1015.228426395939</v>
      </c>
      <c r="H40" s="529">
        <v>15</v>
      </c>
      <c r="I40" s="229">
        <f t="shared" si="2"/>
        <v>29</v>
      </c>
      <c r="J40" s="231">
        <v>29</v>
      </c>
      <c r="K40" s="231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29">
        <f t="shared" si="3"/>
        <v>0</v>
      </c>
      <c r="W40" s="507">
        <f t="shared" si="0"/>
        <v>0</v>
      </c>
    </row>
    <row r="41" spans="1:23" ht="15.6" x14ac:dyDescent="0.25">
      <c r="A41" s="526">
        <v>32</v>
      </c>
      <c r="B41" s="527" t="s">
        <v>638</v>
      </c>
      <c r="C41" s="527"/>
      <c r="D41" s="528">
        <v>2</v>
      </c>
      <c r="E41" s="218" t="s">
        <v>639</v>
      </c>
      <c r="F41" s="211">
        <v>23000</v>
      </c>
      <c r="G41" s="507">
        <f t="shared" si="1"/>
        <v>1061.3751730503</v>
      </c>
      <c r="H41" s="529">
        <v>15</v>
      </c>
      <c r="I41" s="229">
        <f t="shared" si="2"/>
        <v>17</v>
      </c>
      <c r="J41" s="231"/>
      <c r="K41" s="231"/>
      <c r="L41" s="218">
        <v>1</v>
      </c>
      <c r="M41" s="218"/>
      <c r="N41" s="218">
        <v>6</v>
      </c>
      <c r="O41" s="218"/>
      <c r="P41" s="218"/>
      <c r="Q41" s="218"/>
      <c r="R41" s="218"/>
      <c r="S41" s="218"/>
      <c r="T41" s="218"/>
      <c r="U41" s="218"/>
      <c r="V41" s="229">
        <f t="shared" si="3"/>
        <v>10</v>
      </c>
      <c r="W41" s="507">
        <f t="shared" si="0"/>
        <v>10613.751730503</v>
      </c>
    </row>
    <row r="42" spans="1:23" ht="15.6" x14ac:dyDescent="0.25">
      <c r="A42" s="526">
        <v>33</v>
      </c>
      <c r="B42" s="530" t="s">
        <v>774</v>
      </c>
      <c r="C42" s="207" t="str">
        <f>VLOOKUP(B42,[1]Junio!$A$4:$A$23,1,0)</f>
        <v>JESUS OMAR SANCHEZ TRINIDAD</v>
      </c>
      <c r="D42" s="528">
        <v>-5</v>
      </c>
      <c r="E42" s="218" t="s">
        <v>640</v>
      </c>
      <c r="F42" s="211">
        <v>66000</v>
      </c>
      <c r="G42" s="507">
        <f t="shared" si="1"/>
        <v>3045.6852791878168</v>
      </c>
      <c r="H42" s="529">
        <v>15</v>
      </c>
      <c r="I42" s="229">
        <f t="shared" si="2"/>
        <v>10</v>
      </c>
      <c r="J42" s="231"/>
      <c r="K42" s="231"/>
      <c r="L42" s="218"/>
      <c r="M42" s="218"/>
      <c r="N42" s="218"/>
      <c r="O42" s="531">
        <v>20</v>
      </c>
      <c r="P42" s="218"/>
      <c r="Q42" s="218"/>
      <c r="R42" s="218"/>
      <c r="S42" s="218"/>
      <c r="T42" s="218"/>
      <c r="U42" s="218"/>
      <c r="V42" s="229">
        <f t="shared" si="3"/>
        <v>-10</v>
      </c>
      <c r="W42" s="507">
        <f t="shared" si="0"/>
        <v>-30456.852791878169</v>
      </c>
    </row>
    <row r="43" spans="1:23" ht="15.6" x14ac:dyDescent="0.25">
      <c r="A43" s="522">
        <v>34</v>
      </c>
      <c r="B43" s="532" t="s">
        <v>775</v>
      </c>
      <c r="C43" s="532"/>
      <c r="D43" s="528">
        <v>0</v>
      </c>
      <c r="E43" s="533" t="s">
        <v>613</v>
      </c>
      <c r="F43" s="211">
        <v>23650</v>
      </c>
      <c r="G43" s="507">
        <f t="shared" si="1"/>
        <v>1091.3705583756343</v>
      </c>
      <c r="H43" s="529">
        <v>30</v>
      </c>
      <c r="I43" s="229">
        <f t="shared" si="2"/>
        <v>30</v>
      </c>
      <c r="J43" s="231"/>
      <c r="K43" s="231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29">
        <f t="shared" si="3"/>
        <v>30</v>
      </c>
      <c r="W43" s="507">
        <f t="shared" si="0"/>
        <v>32741.11675126903</v>
      </c>
    </row>
    <row r="44" spans="1:23" ht="15.6" x14ac:dyDescent="0.25">
      <c r="A44" s="526">
        <v>35</v>
      </c>
      <c r="B44" s="530" t="s">
        <v>776</v>
      </c>
      <c r="C44" s="530"/>
      <c r="D44" s="528">
        <v>15</v>
      </c>
      <c r="E44" s="533" t="s">
        <v>620</v>
      </c>
      <c r="F44" s="211">
        <v>27500</v>
      </c>
      <c r="G44" s="507">
        <f t="shared" si="1"/>
        <v>1269.0355329949239</v>
      </c>
      <c r="H44" s="529">
        <v>15</v>
      </c>
      <c r="I44" s="229">
        <f t="shared" si="2"/>
        <v>30</v>
      </c>
      <c r="J44" s="231"/>
      <c r="K44" s="231">
        <v>15</v>
      </c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29">
        <f t="shared" si="3"/>
        <v>15</v>
      </c>
      <c r="W44" s="507">
        <f t="shared" si="0"/>
        <v>19035.532994923858</v>
      </c>
    </row>
    <row r="45" spans="1:23" ht="15.6" x14ac:dyDescent="0.25">
      <c r="A45" s="526">
        <v>36</v>
      </c>
      <c r="B45" s="527" t="s">
        <v>777</v>
      </c>
      <c r="C45" s="527"/>
      <c r="D45" s="528">
        <v>15</v>
      </c>
      <c r="E45" s="218" t="s">
        <v>641</v>
      </c>
      <c r="F45" s="211">
        <v>605000</v>
      </c>
      <c r="G45" s="507">
        <f t="shared" si="1"/>
        <v>27918.781725888322</v>
      </c>
      <c r="H45" s="529">
        <v>20</v>
      </c>
      <c r="I45" s="229">
        <f t="shared" si="2"/>
        <v>35</v>
      </c>
      <c r="J45" s="231"/>
      <c r="K45" s="231"/>
      <c r="L45" s="218">
        <v>10</v>
      </c>
      <c r="M45" s="218">
        <v>10</v>
      </c>
      <c r="N45" s="218"/>
      <c r="O45" s="218"/>
      <c r="P45" s="218"/>
      <c r="Q45" s="218"/>
      <c r="R45" s="218"/>
      <c r="S45" s="218"/>
      <c r="T45" s="218"/>
      <c r="U45" s="218"/>
      <c r="V45" s="229">
        <f t="shared" si="3"/>
        <v>15</v>
      </c>
      <c r="W45" s="507">
        <f t="shared" si="0"/>
        <v>418781.72588832484</v>
      </c>
    </row>
    <row r="46" spans="1:23" ht="15.6" x14ac:dyDescent="0.25">
      <c r="A46" s="522">
        <v>37</v>
      </c>
      <c r="B46" s="527" t="s">
        <v>642</v>
      </c>
      <c r="C46" s="207" t="str">
        <f>VLOOKUP(B46,[1]Junio!$A$4:$A$23,1,0)</f>
        <v>JOSE MANUEL VALDEZ</v>
      </c>
      <c r="D46" s="528">
        <v>0</v>
      </c>
      <c r="E46" s="218" t="s">
        <v>643</v>
      </c>
      <c r="F46" s="211">
        <v>34000</v>
      </c>
      <c r="G46" s="507">
        <f t="shared" si="1"/>
        <v>1568.9893862482693</v>
      </c>
      <c r="H46" s="529">
        <v>20</v>
      </c>
      <c r="I46" s="229">
        <f t="shared" si="2"/>
        <v>20</v>
      </c>
      <c r="J46" s="231"/>
      <c r="K46" s="231"/>
      <c r="L46" s="218"/>
      <c r="M46" s="218">
        <v>16</v>
      </c>
      <c r="N46" s="218"/>
      <c r="O46" s="531">
        <v>2</v>
      </c>
      <c r="P46" s="218"/>
      <c r="Q46" s="218"/>
      <c r="R46" s="218"/>
      <c r="S46" s="218"/>
      <c r="T46" s="218"/>
      <c r="U46" s="218"/>
      <c r="V46" s="229">
        <f t="shared" si="3"/>
        <v>2</v>
      </c>
      <c r="W46" s="507">
        <f t="shared" si="0"/>
        <v>3137.9787724965386</v>
      </c>
    </row>
    <row r="47" spans="1:23" ht="15.6" x14ac:dyDescent="0.25">
      <c r="A47" s="526">
        <v>38</v>
      </c>
      <c r="B47" s="527" t="s">
        <v>778</v>
      </c>
      <c r="C47" s="527"/>
      <c r="D47" s="528">
        <v>7</v>
      </c>
      <c r="E47" s="218" t="s">
        <v>644</v>
      </c>
      <c r="F47" s="211">
        <v>360000</v>
      </c>
      <c r="G47" s="507">
        <f t="shared" si="1"/>
        <v>16612.828795569912</v>
      </c>
      <c r="H47" s="529">
        <v>20</v>
      </c>
      <c r="I47" s="229">
        <f t="shared" si="2"/>
        <v>27</v>
      </c>
      <c r="J47" s="231">
        <v>3</v>
      </c>
      <c r="K47" s="231"/>
      <c r="L47" s="218">
        <v>5</v>
      </c>
      <c r="M47" s="218"/>
      <c r="N47" s="218"/>
      <c r="O47" s="218"/>
      <c r="P47" s="218"/>
      <c r="Q47" s="218"/>
      <c r="R47" s="218"/>
      <c r="S47" s="218"/>
      <c r="T47" s="218"/>
      <c r="U47" s="218"/>
      <c r="V47" s="229">
        <f t="shared" si="3"/>
        <v>19</v>
      </c>
      <c r="W47" s="507">
        <f t="shared" si="0"/>
        <v>315643.74711582833</v>
      </c>
    </row>
    <row r="48" spans="1:23" ht="15.6" x14ac:dyDescent="0.25">
      <c r="A48" s="526">
        <v>39</v>
      </c>
      <c r="B48" s="527" t="s">
        <v>779</v>
      </c>
      <c r="C48" s="527"/>
      <c r="D48" s="528">
        <v>3</v>
      </c>
      <c r="E48" s="218" t="s">
        <v>620</v>
      </c>
      <c r="F48" s="211">
        <v>27500</v>
      </c>
      <c r="G48" s="507">
        <f t="shared" si="1"/>
        <v>1269.0355329949239</v>
      </c>
      <c r="H48" s="529">
        <v>15</v>
      </c>
      <c r="I48" s="229">
        <f t="shared" si="2"/>
        <v>18</v>
      </c>
      <c r="J48" s="231"/>
      <c r="K48" s="231"/>
      <c r="L48" s="218"/>
      <c r="M48" s="218">
        <v>3</v>
      </c>
      <c r="N48" s="218"/>
      <c r="O48" s="218"/>
      <c r="P48" s="218"/>
      <c r="Q48" s="218"/>
      <c r="R48" s="218"/>
      <c r="S48" s="218"/>
      <c r="T48" s="218"/>
      <c r="U48" s="218"/>
      <c r="V48" s="229">
        <f t="shared" si="3"/>
        <v>15</v>
      </c>
      <c r="W48" s="507">
        <f t="shared" si="0"/>
        <v>19035.532994923858</v>
      </c>
    </row>
    <row r="49" spans="1:23" ht="15.6" x14ac:dyDescent="0.25">
      <c r="A49" s="522">
        <v>40</v>
      </c>
      <c r="B49" s="532" t="s">
        <v>780</v>
      </c>
      <c r="C49" s="207" t="str">
        <f>VLOOKUP(B49,[1]Junio!$A$4:$A$23,1,0)</f>
        <v>LADY MARGARET ESPINAL ROMERO</v>
      </c>
      <c r="D49" s="528">
        <v>3</v>
      </c>
      <c r="E49" s="218" t="s">
        <v>645</v>
      </c>
      <c r="F49" s="211">
        <v>95000</v>
      </c>
      <c r="G49" s="507">
        <f t="shared" si="1"/>
        <v>4383.9409321642825</v>
      </c>
      <c r="H49" s="529">
        <v>30</v>
      </c>
      <c r="I49" s="229">
        <f t="shared" si="2"/>
        <v>33</v>
      </c>
      <c r="J49" s="231"/>
      <c r="K49" s="231"/>
      <c r="L49" s="218"/>
      <c r="M49" s="218">
        <v>8</v>
      </c>
      <c r="N49" s="218"/>
      <c r="O49" s="531">
        <v>9</v>
      </c>
      <c r="P49" s="218"/>
      <c r="Q49" s="218"/>
      <c r="R49" s="218"/>
      <c r="S49" s="218"/>
      <c r="T49" s="218"/>
      <c r="U49" s="218"/>
      <c r="V49" s="229">
        <f t="shared" si="3"/>
        <v>16</v>
      </c>
      <c r="W49" s="507">
        <f t="shared" si="0"/>
        <v>70143.054914628519</v>
      </c>
    </row>
    <row r="50" spans="1:23" ht="15.6" x14ac:dyDescent="0.25">
      <c r="A50" s="526">
        <v>41</v>
      </c>
      <c r="B50" s="530" t="s">
        <v>646</v>
      </c>
      <c r="C50" s="530"/>
      <c r="D50" s="528">
        <v>3</v>
      </c>
      <c r="E50" s="218" t="s">
        <v>635</v>
      </c>
      <c r="F50" s="211">
        <v>49500</v>
      </c>
      <c r="G50" s="507">
        <f t="shared" si="1"/>
        <v>2284.263959390863</v>
      </c>
      <c r="H50" s="529">
        <v>30</v>
      </c>
      <c r="I50" s="229">
        <f t="shared" si="2"/>
        <v>33</v>
      </c>
      <c r="J50" s="231"/>
      <c r="K50" s="231"/>
      <c r="L50" s="218"/>
      <c r="M50" s="218">
        <v>9</v>
      </c>
      <c r="N50" s="218"/>
      <c r="O50" s="218"/>
      <c r="P50" s="218"/>
      <c r="Q50" s="218"/>
      <c r="R50" s="218"/>
      <c r="S50" s="218"/>
      <c r="T50" s="218"/>
      <c r="U50" s="218"/>
      <c r="V50" s="229">
        <f t="shared" si="3"/>
        <v>24</v>
      </c>
      <c r="W50" s="507">
        <f t="shared" si="0"/>
        <v>54822.335025380715</v>
      </c>
    </row>
    <row r="51" spans="1:23" ht="15.6" x14ac:dyDescent="0.25">
      <c r="A51" s="526">
        <v>42</v>
      </c>
      <c r="B51" s="530" t="s">
        <v>647</v>
      </c>
      <c r="C51" s="530"/>
      <c r="D51" s="528">
        <v>28</v>
      </c>
      <c r="E51" s="218" t="s">
        <v>648</v>
      </c>
      <c r="F51" s="211">
        <v>88000</v>
      </c>
      <c r="G51" s="507">
        <f t="shared" si="1"/>
        <v>4060.9137055837559</v>
      </c>
      <c r="H51" s="529">
        <v>30</v>
      </c>
      <c r="I51" s="229">
        <f t="shared" si="2"/>
        <v>58</v>
      </c>
      <c r="J51" s="231">
        <v>20</v>
      </c>
      <c r="K51" s="231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29">
        <f t="shared" si="3"/>
        <v>38</v>
      </c>
      <c r="W51" s="507">
        <f t="shared" si="0"/>
        <v>154314.72081218273</v>
      </c>
    </row>
    <row r="52" spans="1:23" ht="15.6" x14ac:dyDescent="0.25">
      <c r="A52" s="522">
        <v>43</v>
      </c>
      <c r="B52" s="530" t="s">
        <v>781</v>
      </c>
      <c r="C52" s="207" t="str">
        <f>VLOOKUP(B52,[1]Junio!$A$4:$A$23,1,0)</f>
        <v>LEWIS ANTONIO MEDRANO MORLA</v>
      </c>
      <c r="D52" s="528">
        <v>15</v>
      </c>
      <c r="E52" s="218" t="s">
        <v>782</v>
      </c>
      <c r="F52" s="211">
        <v>49500</v>
      </c>
      <c r="G52" s="507">
        <f t="shared" si="1"/>
        <v>2284.263959390863</v>
      </c>
      <c r="H52" s="529">
        <v>25</v>
      </c>
      <c r="I52" s="229">
        <f t="shared" si="2"/>
        <v>40</v>
      </c>
      <c r="J52" s="231">
        <v>6</v>
      </c>
      <c r="K52" s="231"/>
      <c r="L52" s="218"/>
      <c r="M52" s="218"/>
      <c r="N52" s="218"/>
      <c r="O52" s="531">
        <v>3</v>
      </c>
      <c r="P52" s="218"/>
      <c r="Q52" s="218"/>
      <c r="R52" s="218"/>
      <c r="S52" s="218"/>
      <c r="T52" s="218"/>
      <c r="U52" s="218"/>
      <c r="V52" s="229">
        <f t="shared" si="3"/>
        <v>31</v>
      </c>
      <c r="W52" s="507">
        <f t="shared" si="0"/>
        <v>70812.182741116747</v>
      </c>
    </row>
    <row r="53" spans="1:23" ht="15.6" x14ac:dyDescent="0.25">
      <c r="A53" s="526">
        <v>44</v>
      </c>
      <c r="B53" s="532" t="s">
        <v>649</v>
      </c>
      <c r="C53" s="532"/>
      <c r="D53" s="528">
        <v>10</v>
      </c>
      <c r="E53" s="218" t="s">
        <v>683</v>
      </c>
      <c r="F53" s="211">
        <v>220000</v>
      </c>
      <c r="G53" s="507">
        <f t="shared" si="1"/>
        <v>10152.284263959391</v>
      </c>
      <c r="H53" s="529">
        <v>20</v>
      </c>
      <c r="I53" s="229">
        <f t="shared" si="2"/>
        <v>30</v>
      </c>
      <c r="J53" s="231"/>
      <c r="K53" s="231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29">
        <f t="shared" si="3"/>
        <v>30</v>
      </c>
      <c r="W53" s="507">
        <f t="shared" si="0"/>
        <v>304568.52791878174</v>
      </c>
    </row>
    <row r="54" spans="1:23" ht="15.6" x14ac:dyDescent="0.25">
      <c r="A54" s="526">
        <v>45</v>
      </c>
      <c r="B54" s="527" t="s">
        <v>650</v>
      </c>
      <c r="C54" s="207" t="str">
        <f>VLOOKUP(B54,[1]Junio!$A$4:$A$23,1,0)</f>
        <v>LISBET RODRIGUEZ GUZMAN</v>
      </c>
      <c r="D54" s="528">
        <v>0</v>
      </c>
      <c r="E54" s="218" t="s">
        <v>609</v>
      </c>
      <c r="F54" s="211">
        <v>66000</v>
      </c>
      <c r="G54" s="507">
        <f t="shared" si="1"/>
        <v>3045.6852791878168</v>
      </c>
      <c r="H54" s="529">
        <v>15</v>
      </c>
      <c r="I54" s="229">
        <f t="shared" si="2"/>
        <v>15</v>
      </c>
      <c r="J54" s="231"/>
      <c r="K54" s="231">
        <v>3</v>
      </c>
      <c r="L54" s="218"/>
      <c r="M54" s="218"/>
      <c r="N54" s="218"/>
      <c r="O54" s="531">
        <v>4</v>
      </c>
      <c r="P54" s="218"/>
      <c r="Q54" s="218"/>
      <c r="R54" s="218"/>
      <c r="S54" s="218"/>
      <c r="T54" s="218"/>
      <c r="U54" s="218"/>
      <c r="V54" s="229">
        <f t="shared" si="3"/>
        <v>8</v>
      </c>
      <c r="W54" s="507">
        <f t="shared" si="0"/>
        <v>24365.482233502535</v>
      </c>
    </row>
    <row r="55" spans="1:23" ht="15.6" x14ac:dyDescent="0.25">
      <c r="A55" s="522">
        <v>46</v>
      </c>
      <c r="B55" s="530" t="s">
        <v>651</v>
      </c>
      <c r="C55" s="530"/>
      <c r="D55" s="528">
        <v>0</v>
      </c>
      <c r="E55" s="218" t="s">
        <v>356</v>
      </c>
      <c r="F55" s="211">
        <v>220000</v>
      </c>
      <c r="G55" s="507">
        <f t="shared" si="1"/>
        <v>10152.284263959391</v>
      </c>
      <c r="H55" s="529">
        <v>15</v>
      </c>
      <c r="I55" s="229">
        <f t="shared" si="2"/>
        <v>15</v>
      </c>
      <c r="J55" s="231"/>
      <c r="K55" s="231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29">
        <f t="shared" si="3"/>
        <v>15</v>
      </c>
      <c r="W55" s="507">
        <f t="shared" si="0"/>
        <v>152284.26395939087</v>
      </c>
    </row>
    <row r="56" spans="1:23" ht="15.6" x14ac:dyDescent="0.25">
      <c r="A56" s="526">
        <v>47</v>
      </c>
      <c r="B56" s="532" t="s">
        <v>652</v>
      </c>
      <c r="C56" s="207" t="str">
        <f>VLOOKUP(B56,[1]Junio!$A$4:$A$23,1,0)</f>
        <v>LUIS ANTONIO MOQUETE PELLETIER</v>
      </c>
      <c r="D56" s="528">
        <v>15</v>
      </c>
      <c r="E56" s="218" t="s">
        <v>356</v>
      </c>
      <c r="F56" s="211">
        <v>380000</v>
      </c>
      <c r="G56" s="507">
        <f t="shared" si="1"/>
        <v>17535.76372865713</v>
      </c>
      <c r="H56" s="529">
        <v>30</v>
      </c>
      <c r="I56" s="229">
        <f t="shared" si="2"/>
        <v>45</v>
      </c>
      <c r="J56" s="231"/>
      <c r="K56" s="231"/>
      <c r="L56" s="218"/>
      <c r="M56" s="218"/>
      <c r="N56" s="218"/>
      <c r="O56" s="531">
        <v>8</v>
      </c>
      <c r="P56" s="218"/>
      <c r="Q56" s="218"/>
      <c r="R56" s="218"/>
      <c r="S56" s="218"/>
      <c r="T56" s="218"/>
      <c r="U56" s="218"/>
      <c r="V56" s="229">
        <f t="shared" si="3"/>
        <v>37</v>
      </c>
      <c r="W56" s="507">
        <f t="shared" si="0"/>
        <v>648823.25796031381</v>
      </c>
    </row>
    <row r="57" spans="1:23" ht="15.6" x14ac:dyDescent="0.25">
      <c r="A57" s="526">
        <v>48</v>
      </c>
      <c r="B57" s="532" t="s">
        <v>783</v>
      </c>
      <c r="C57" s="207" t="str">
        <f>VLOOKUP(B57,[1]Junio!$A$4:$A$23,1,0)</f>
        <v>MARGARET RAMIREZ BAEZ</v>
      </c>
      <c r="D57" s="528">
        <v>0</v>
      </c>
      <c r="E57" s="218" t="s">
        <v>608</v>
      </c>
      <c r="F57" s="211">
        <v>90000</v>
      </c>
      <c r="G57" s="507">
        <f>F57/21.67</f>
        <v>4153.2071988924781</v>
      </c>
      <c r="H57" s="529">
        <v>15</v>
      </c>
      <c r="I57" s="229">
        <f t="shared" si="2"/>
        <v>15</v>
      </c>
      <c r="J57" s="231"/>
      <c r="K57" s="231"/>
      <c r="L57" s="218">
        <v>2</v>
      </c>
      <c r="M57" s="218"/>
      <c r="N57" s="218"/>
      <c r="O57" s="531">
        <v>5</v>
      </c>
      <c r="P57" s="218"/>
      <c r="Q57" s="218"/>
      <c r="R57" s="218"/>
      <c r="S57" s="218"/>
      <c r="T57" s="218"/>
      <c r="U57" s="218"/>
      <c r="V57" s="229">
        <f t="shared" si="3"/>
        <v>8</v>
      </c>
      <c r="W57" s="507">
        <f t="shared" si="0"/>
        <v>33225.657591139825</v>
      </c>
    </row>
    <row r="58" spans="1:23" ht="15.6" x14ac:dyDescent="0.25">
      <c r="A58" s="522">
        <v>49</v>
      </c>
      <c r="B58" s="532" t="s">
        <v>656</v>
      </c>
      <c r="C58" s="532"/>
      <c r="D58" s="528">
        <v>3</v>
      </c>
      <c r="E58" s="218" t="s">
        <v>782</v>
      </c>
      <c r="F58" s="211">
        <v>45000</v>
      </c>
      <c r="G58" s="507">
        <f>F58/21.67</f>
        <v>2076.6035994462391</v>
      </c>
      <c r="H58" s="529">
        <v>20</v>
      </c>
      <c r="I58" s="229">
        <f t="shared" si="2"/>
        <v>23</v>
      </c>
      <c r="J58" s="231"/>
      <c r="K58" s="231"/>
      <c r="L58" s="218"/>
      <c r="M58" s="218">
        <v>23</v>
      </c>
      <c r="N58" s="218"/>
      <c r="O58" s="218"/>
      <c r="P58" s="218"/>
      <c r="Q58" s="218"/>
      <c r="R58" s="218"/>
      <c r="S58" s="218"/>
      <c r="T58" s="218"/>
      <c r="U58" s="218"/>
      <c r="V58" s="229">
        <f t="shared" si="3"/>
        <v>0</v>
      </c>
      <c r="W58" s="507">
        <f t="shared" si="0"/>
        <v>0</v>
      </c>
    </row>
    <row r="59" spans="1:23" ht="15.6" x14ac:dyDescent="0.25">
      <c r="A59" s="526">
        <v>50</v>
      </c>
      <c r="B59" s="530" t="s">
        <v>784</v>
      </c>
      <c r="C59" s="530"/>
      <c r="D59" s="528">
        <v>15</v>
      </c>
      <c r="E59" s="218" t="s">
        <v>653</v>
      </c>
      <c r="F59" s="211">
        <v>380000</v>
      </c>
      <c r="G59" s="507">
        <f t="shared" ref="G59:G60" si="4">F59/21.67</f>
        <v>17535.76372865713</v>
      </c>
      <c r="H59" s="529">
        <v>15</v>
      </c>
      <c r="I59" s="229">
        <f t="shared" si="2"/>
        <v>30</v>
      </c>
      <c r="J59" s="231"/>
      <c r="K59" s="231"/>
      <c r="L59" s="218"/>
      <c r="M59" s="218">
        <v>5</v>
      </c>
      <c r="N59" s="218"/>
      <c r="O59" s="218"/>
      <c r="P59" s="218"/>
      <c r="Q59" s="218"/>
      <c r="R59" s="218"/>
      <c r="S59" s="218"/>
      <c r="T59" s="218"/>
      <c r="U59" s="218"/>
      <c r="V59" s="229">
        <f t="shared" si="3"/>
        <v>25</v>
      </c>
      <c r="W59" s="507">
        <f t="shared" si="0"/>
        <v>438394.09321642824</v>
      </c>
    </row>
    <row r="60" spans="1:23" ht="15.6" x14ac:dyDescent="0.25">
      <c r="A60" s="526">
        <v>51</v>
      </c>
      <c r="B60" s="532" t="s">
        <v>654</v>
      </c>
      <c r="C60" s="532"/>
      <c r="D60" s="528">
        <v>5</v>
      </c>
      <c r="E60" s="218" t="s">
        <v>622</v>
      </c>
      <c r="F60" s="211">
        <v>35750</v>
      </c>
      <c r="G60" s="507">
        <f t="shared" si="4"/>
        <v>1649.7461928934008</v>
      </c>
      <c r="H60" s="529">
        <v>30</v>
      </c>
      <c r="I60" s="229">
        <f t="shared" si="2"/>
        <v>35</v>
      </c>
      <c r="J60" s="231"/>
      <c r="K60" s="231"/>
      <c r="L60" s="218"/>
      <c r="M60" s="218">
        <v>10</v>
      </c>
      <c r="N60" s="218"/>
      <c r="O60" s="218"/>
      <c r="P60" s="218"/>
      <c r="Q60" s="218"/>
      <c r="R60" s="218"/>
      <c r="S60" s="218"/>
      <c r="T60" s="218"/>
      <c r="U60" s="218"/>
      <c r="V60" s="229">
        <f t="shared" si="3"/>
        <v>25</v>
      </c>
      <c r="W60" s="507">
        <f t="shared" si="0"/>
        <v>41243.654822335018</v>
      </c>
    </row>
    <row r="61" spans="1:23" ht="15.6" x14ac:dyDescent="0.25">
      <c r="A61" s="522">
        <v>52</v>
      </c>
      <c r="B61" s="527" t="s">
        <v>785</v>
      </c>
      <c r="C61" s="527"/>
      <c r="D61" s="528">
        <v>0</v>
      </c>
      <c r="E61" s="218" t="s">
        <v>629</v>
      </c>
      <c r="F61" s="211">
        <v>110000</v>
      </c>
      <c r="G61" s="507">
        <f>F61/21.67</f>
        <v>5076.1421319796955</v>
      </c>
      <c r="H61" s="529">
        <v>15</v>
      </c>
      <c r="I61" s="229">
        <f t="shared" si="2"/>
        <v>15</v>
      </c>
      <c r="J61" s="231"/>
      <c r="K61" s="231"/>
      <c r="L61" s="218"/>
      <c r="M61" s="218">
        <v>1</v>
      </c>
      <c r="N61" s="218"/>
      <c r="O61" s="218"/>
      <c r="P61" s="218"/>
      <c r="Q61" s="218"/>
      <c r="R61" s="218"/>
      <c r="S61" s="218"/>
      <c r="T61" s="218"/>
      <c r="U61" s="218"/>
      <c r="V61" s="229">
        <f t="shared" si="3"/>
        <v>14</v>
      </c>
      <c r="W61" s="507">
        <f t="shared" si="0"/>
        <v>71065.98984771574</v>
      </c>
    </row>
    <row r="62" spans="1:23" ht="15.6" x14ac:dyDescent="0.25">
      <c r="A62" s="526">
        <v>53</v>
      </c>
      <c r="B62" s="527" t="s">
        <v>786</v>
      </c>
      <c r="C62" s="527"/>
      <c r="D62" s="528">
        <v>0</v>
      </c>
      <c r="E62" s="218" t="s">
        <v>356</v>
      </c>
      <c r="F62" s="211">
        <v>220000</v>
      </c>
      <c r="G62" s="507">
        <f>F62/21.67</f>
        <v>10152.284263959391</v>
      </c>
      <c r="H62" s="529">
        <v>15</v>
      </c>
      <c r="I62" s="229">
        <f t="shared" si="2"/>
        <v>15</v>
      </c>
      <c r="J62" s="231">
        <v>5</v>
      </c>
      <c r="K62" s="231"/>
      <c r="L62" s="218">
        <v>5</v>
      </c>
      <c r="M62" s="218"/>
      <c r="N62" s="218"/>
      <c r="O62" s="218"/>
      <c r="P62" s="218"/>
      <c r="Q62" s="218"/>
      <c r="R62" s="218"/>
      <c r="S62" s="218"/>
      <c r="T62" s="218"/>
      <c r="U62" s="218"/>
      <c r="V62" s="229">
        <f t="shared" si="3"/>
        <v>5</v>
      </c>
      <c r="W62" s="507">
        <f t="shared" si="0"/>
        <v>50761.421319796951</v>
      </c>
    </row>
    <row r="63" spans="1:23" ht="15.6" x14ac:dyDescent="0.25">
      <c r="A63" s="526">
        <v>54</v>
      </c>
      <c r="B63" s="527" t="s">
        <v>655</v>
      </c>
      <c r="C63" s="527"/>
      <c r="D63" s="528">
        <v>25</v>
      </c>
      <c r="E63" s="218" t="s">
        <v>605</v>
      </c>
      <c r="F63" s="211">
        <v>220000</v>
      </c>
      <c r="G63" s="507">
        <f t="shared" ref="G63:G65" si="5">F63/21.67</f>
        <v>10152.284263959391</v>
      </c>
      <c r="H63" s="529">
        <v>30</v>
      </c>
      <c r="I63" s="229">
        <f t="shared" si="2"/>
        <v>55</v>
      </c>
      <c r="J63" s="231"/>
      <c r="K63" s="231"/>
      <c r="L63" s="218"/>
      <c r="M63" s="218">
        <v>6</v>
      </c>
      <c r="N63" s="218"/>
      <c r="O63" s="218"/>
      <c r="P63" s="218"/>
      <c r="Q63" s="218"/>
      <c r="R63" s="218"/>
      <c r="S63" s="218"/>
      <c r="T63" s="218"/>
      <c r="U63" s="218"/>
      <c r="V63" s="229">
        <f t="shared" si="3"/>
        <v>49</v>
      </c>
      <c r="W63" s="507">
        <f t="shared" si="0"/>
        <v>497461.92893401015</v>
      </c>
    </row>
    <row r="64" spans="1:23" ht="15.6" x14ac:dyDescent="0.25">
      <c r="A64" s="522">
        <v>55</v>
      </c>
      <c r="B64" s="532" t="s">
        <v>657</v>
      </c>
      <c r="C64" s="207" t="str">
        <f>VLOOKUP(B64,[1]Junio!$A$4:$A$23,1,0)</f>
        <v>MERCEDES IVELICES GUZMAN VALERIO</v>
      </c>
      <c r="D64" s="534">
        <v>13</v>
      </c>
      <c r="E64" s="218" t="s">
        <v>609</v>
      </c>
      <c r="F64" s="211">
        <v>66000</v>
      </c>
      <c r="G64" s="507">
        <f t="shared" si="5"/>
        <v>3045.6852791878168</v>
      </c>
      <c r="H64" s="529">
        <v>25</v>
      </c>
      <c r="I64" s="229">
        <f t="shared" si="2"/>
        <v>38</v>
      </c>
      <c r="J64" s="231">
        <v>3</v>
      </c>
      <c r="K64" s="231"/>
      <c r="L64" s="218">
        <v>7</v>
      </c>
      <c r="M64" s="218">
        <v>2</v>
      </c>
      <c r="N64" s="218"/>
      <c r="O64" s="531">
        <v>5</v>
      </c>
      <c r="P64" s="218"/>
      <c r="Q64" s="218"/>
      <c r="R64" s="218"/>
      <c r="S64" s="218"/>
      <c r="T64" s="218"/>
      <c r="U64" s="218"/>
      <c r="V64" s="229">
        <f t="shared" si="3"/>
        <v>21</v>
      </c>
      <c r="W64" s="507">
        <f t="shared" si="0"/>
        <v>63959.39086294415</v>
      </c>
    </row>
    <row r="65" spans="1:23" ht="15.6" x14ac:dyDescent="0.25">
      <c r="A65" s="526">
        <v>56</v>
      </c>
      <c r="B65" s="527" t="s">
        <v>658</v>
      </c>
      <c r="C65" s="527"/>
      <c r="D65" s="528">
        <v>0</v>
      </c>
      <c r="E65" s="218" t="s">
        <v>356</v>
      </c>
      <c r="F65" s="211">
        <v>132000</v>
      </c>
      <c r="G65" s="507">
        <f t="shared" si="5"/>
        <v>6091.3705583756337</v>
      </c>
      <c r="H65" s="529">
        <v>15</v>
      </c>
      <c r="I65" s="229">
        <f t="shared" si="2"/>
        <v>15</v>
      </c>
      <c r="J65" s="231">
        <v>10</v>
      </c>
      <c r="K65" s="231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29">
        <f t="shared" si="3"/>
        <v>5</v>
      </c>
      <c r="W65" s="507">
        <f t="shared" si="0"/>
        <v>30456.852791878169</v>
      </c>
    </row>
    <row r="66" spans="1:23" ht="15.6" x14ac:dyDescent="0.25">
      <c r="A66" s="526">
        <v>57</v>
      </c>
      <c r="B66" s="527" t="s">
        <v>787</v>
      </c>
      <c r="C66" s="527"/>
      <c r="D66" s="528">
        <v>0</v>
      </c>
      <c r="E66" s="218" t="s">
        <v>788</v>
      </c>
      <c r="F66" s="211">
        <v>100000</v>
      </c>
      <c r="G66" s="507">
        <f>F66/21.67</f>
        <v>4614.6746654360868</v>
      </c>
      <c r="H66" s="529">
        <v>15</v>
      </c>
      <c r="I66" s="229">
        <f t="shared" si="2"/>
        <v>15</v>
      </c>
      <c r="J66" s="231"/>
      <c r="K66" s="231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29">
        <f t="shared" si="3"/>
        <v>15</v>
      </c>
      <c r="W66" s="507">
        <f t="shared" si="0"/>
        <v>69220.119981541298</v>
      </c>
    </row>
    <row r="67" spans="1:23" ht="15.6" x14ac:dyDescent="0.25">
      <c r="A67" s="522">
        <v>58</v>
      </c>
      <c r="B67" s="218" t="s">
        <v>659</v>
      </c>
      <c r="C67" s="218"/>
      <c r="D67" s="528">
        <v>9</v>
      </c>
      <c r="E67" s="218" t="s">
        <v>605</v>
      </c>
      <c r="F67" s="211">
        <v>115000</v>
      </c>
      <c r="G67" s="507">
        <f>F67/21.67</f>
        <v>5306.8758652514989</v>
      </c>
      <c r="H67" s="529">
        <v>25</v>
      </c>
      <c r="I67" s="229">
        <f t="shared" si="2"/>
        <v>34</v>
      </c>
      <c r="J67" s="231"/>
      <c r="K67" s="231"/>
      <c r="L67" s="218"/>
      <c r="M67" s="218"/>
      <c r="N67" s="218">
        <v>1</v>
      </c>
      <c r="O67" s="218"/>
      <c r="P67" s="218"/>
      <c r="Q67" s="218"/>
      <c r="R67" s="218"/>
      <c r="S67" s="218"/>
      <c r="T67" s="218"/>
      <c r="U67" s="218"/>
      <c r="V67" s="229">
        <f t="shared" si="3"/>
        <v>33</v>
      </c>
      <c r="W67" s="507">
        <f t="shared" si="0"/>
        <v>175126.90355329946</v>
      </c>
    </row>
    <row r="68" spans="1:23" ht="15.6" x14ac:dyDescent="0.25">
      <c r="A68" s="526">
        <v>59</v>
      </c>
      <c r="B68" s="527" t="s">
        <v>660</v>
      </c>
      <c r="C68" s="527"/>
      <c r="D68" s="528">
        <v>7</v>
      </c>
      <c r="E68" s="218" t="s">
        <v>661</v>
      </c>
      <c r="F68" s="211">
        <v>27500</v>
      </c>
      <c r="G68" s="507">
        <f t="shared" ref="G68:G72" si="6">F68/21.67</f>
        <v>1269.0355329949239</v>
      </c>
      <c r="H68" s="529">
        <v>20</v>
      </c>
      <c r="I68" s="229">
        <f t="shared" si="2"/>
        <v>27</v>
      </c>
      <c r="J68" s="231">
        <v>1</v>
      </c>
      <c r="K68" s="231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29">
        <f t="shared" si="3"/>
        <v>26</v>
      </c>
      <c r="W68" s="507">
        <f t="shared" si="0"/>
        <v>32994.923857868023</v>
      </c>
    </row>
    <row r="69" spans="1:23" ht="15.6" x14ac:dyDescent="0.25">
      <c r="A69" s="526">
        <v>60</v>
      </c>
      <c r="B69" s="527" t="s">
        <v>662</v>
      </c>
      <c r="C69" s="527"/>
      <c r="D69" s="528">
        <v>7</v>
      </c>
      <c r="E69" s="218" t="s">
        <v>635</v>
      </c>
      <c r="F69" s="211">
        <v>45000</v>
      </c>
      <c r="G69" s="507">
        <f t="shared" si="6"/>
        <v>2076.6035994462391</v>
      </c>
      <c r="H69" s="529">
        <v>15</v>
      </c>
      <c r="I69" s="229">
        <f t="shared" si="2"/>
        <v>22</v>
      </c>
      <c r="J69" s="231"/>
      <c r="K69" s="231"/>
      <c r="L69" s="218"/>
      <c r="M69" s="218"/>
      <c r="N69" s="218">
        <v>5</v>
      </c>
      <c r="O69" s="218"/>
      <c r="P69" s="218"/>
      <c r="Q69" s="218"/>
      <c r="R69" s="218"/>
      <c r="S69" s="218"/>
      <c r="T69" s="218"/>
      <c r="U69" s="218"/>
      <c r="V69" s="229">
        <f t="shared" si="3"/>
        <v>17</v>
      </c>
      <c r="W69" s="507">
        <f t="shared" si="0"/>
        <v>35302.261190586061</v>
      </c>
    </row>
    <row r="70" spans="1:23" ht="15.6" x14ac:dyDescent="0.25">
      <c r="A70" s="522">
        <v>61</v>
      </c>
      <c r="B70" s="527" t="s">
        <v>663</v>
      </c>
      <c r="C70" s="527"/>
      <c r="D70" s="528">
        <v>0</v>
      </c>
      <c r="E70" s="218" t="s">
        <v>622</v>
      </c>
      <c r="F70" s="211">
        <v>27500</v>
      </c>
      <c r="G70" s="507">
        <f t="shared" si="6"/>
        <v>1269.0355329949239</v>
      </c>
      <c r="H70" s="529">
        <v>15</v>
      </c>
      <c r="I70" s="229">
        <f t="shared" si="2"/>
        <v>15</v>
      </c>
      <c r="J70" s="231"/>
      <c r="K70" s="231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29">
        <f t="shared" si="3"/>
        <v>15</v>
      </c>
      <c r="W70" s="507">
        <f t="shared" si="0"/>
        <v>19035.532994923858</v>
      </c>
    </row>
    <row r="71" spans="1:23" ht="15.6" x14ac:dyDescent="0.25">
      <c r="A71" s="526">
        <v>62</v>
      </c>
      <c r="B71" s="530" t="s">
        <v>789</v>
      </c>
      <c r="C71" s="530"/>
      <c r="D71" s="528">
        <v>10</v>
      </c>
      <c r="E71" s="218" t="s">
        <v>609</v>
      </c>
      <c r="F71" s="211">
        <v>85000</v>
      </c>
      <c r="G71" s="507">
        <f t="shared" si="6"/>
        <v>3922.4734656206733</v>
      </c>
      <c r="H71" s="529">
        <v>30</v>
      </c>
      <c r="I71" s="229">
        <f t="shared" si="2"/>
        <v>40</v>
      </c>
      <c r="J71" s="231"/>
      <c r="K71" s="231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29">
        <f t="shared" si="3"/>
        <v>40</v>
      </c>
      <c r="W71" s="507">
        <f t="shared" si="0"/>
        <v>156898.93862482693</v>
      </c>
    </row>
    <row r="72" spans="1:23" ht="15.6" x14ac:dyDescent="0.25">
      <c r="A72" s="526">
        <v>63</v>
      </c>
      <c r="B72" s="527" t="s">
        <v>664</v>
      </c>
      <c r="C72" s="207" t="str">
        <f>VLOOKUP(B72,[1]Junio!$A$4:$A$23,1,0)</f>
        <v>NYSA MARIA FERREIRA BALBI</v>
      </c>
      <c r="D72" s="528">
        <v>11</v>
      </c>
      <c r="E72" s="218" t="s">
        <v>790</v>
      </c>
      <c r="F72" s="211">
        <v>49500</v>
      </c>
      <c r="G72" s="507">
        <f t="shared" si="6"/>
        <v>2284.263959390863</v>
      </c>
      <c r="H72" s="529">
        <v>20</v>
      </c>
      <c r="I72" s="229">
        <f t="shared" si="2"/>
        <v>31</v>
      </c>
      <c r="J72" s="231">
        <v>6</v>
      </c>
      <c r="K72" s="231"/>
      <c r="L72" s="218"/>
      <c r="M72" s="218"/>
      <c r="N72" s="218"/>
      <c r="O72" s="531">
        <v>9</v>
      </c>
      <c r="P72" s="218"/>
      <c r="Q72" s="218"/>
      <c r="R72" s="218"/>
      <c r="S72" s="218"/>
      <c r="T72" s="218"/>
      <c r="U72" s="218"/>
      <c r="V72" s="229">
        <f t="shared" si="3"/>
        <v>16</v>
      </c>
      <c r="W72" s="507">
        <f t="shared" si="0"/>
        <v>36548.223350253807</v>
      </c>
    </row>
    <row r="73" spans="1:23" ht="15.6" x14ac:dyDescent="0.25">
      <c r="A73" s="522">
        <v>64</v>
      </c>
      <c r="B73" s="527" t="s">
        <v>791</v>
      </c>
      <c r="C73" s="207" t="str">
        <f>VLOOKUP(B73,[1]Junio!$A$4:$A$23,1,0)</f>
        <v>ODALIS MARTE RODRIGUEZ</v>
      </c>
      <c r="D73" s="528">
        <v>0</v>
      </c>
      <c r="E73" s="218" t="s">
        <v>620</v>
      </c>
      <c r="F73" s="211">
        <v>27500</v>
      </c>
      <c r="G73" s="507">
        <f>F73/21.67</f>
        <v>1269.0355329949239</v>
      </c>
      <c r="H73" s="529">
        <v>15</v>
      </c>
      <c r="I73" s="229">
        <f t="shared" si="2"/>
        <v>15</v>
      </c>
      <c r="J73" s="231"/>
      <c r="K73" s="231"/>
      <c r="L73" s="218"/>
      <c r="M73" s="218"/>
      <c r="N73" s="218"/>
      <c r="O73" s="531">
        <v>9</v>
      </c>
      <c r="P73" s="218"/>
      <c r="Q73" s="218"/>
      <c r="R73" s="218"/>
      <c r="S73" s="218"/>
      <c r="T73" s="218"/>
      <c r="U73" s="218"/>
      <c r="V73" s="229">
        <f t="shared" si="3"/>
        <v>6</v>
      </c>
      <c r="W73" s="507">
        <f t="shared" si="0"/>
        <v>7614.2131979695432</v>
      </c>
    </row>
    <row r="74" spans="1:23" ht="15.6" x14ac:dyDescent="0.25">
      <c r="A74" s="526">
        <v>65</v>
      </c>
      <c r="B74" s="527" t="s">
        <v>665</v>
      </c>
      <c r="C74" s="527"/>
      <c r="D74" s="528">
        <v>15</v>
      </c>
      <c r="E74" s="218" t="s">
        <v>666</v>
      </c>
      <c r="F74" s="211">
        <v>88000</v>
      </c>
      <c r="G74" s="507">
        <f>F74/21.67</f>
        <v>4060.9137055837559</v>
      </c>
      <c r="H74" s="529">
        <v>30</v>
      </c>
      <c r="I74" s="229">
        <f t="shared" si="2"/>
        <v>45</v>
      </c>
      <c r="J74" s="231"/>
      <c r="K74" s="231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29">
        <f t="shared" si="3"/>
        <v>45</v>
      </c>
      <c r="W74" s="507">
        <f t="shared" ref="W74:W95" si="7">G74*V74</f>
        <v>182741.11675126903</v>
      </c>
    </row>
    <row r="75" spans="1:23" ht="15.6" x14ac:dyDescent="0.25">
      <c r="A75" s="526">
        <v>66</v>
      </c>
      <c r="B75" s="527" t="s">
        <v>667</v>
      </c>
      <c r="C75" s="527"/>
      <c r="D75" s="528">
        <v>0</v>
      </c>
      <c r="E75" s="218" t="s">
        <v>356</v>
      </c>
      <c r="F75" s="211">
        <v>220000</v>
      </c>
      <c r="G75" s="507">
        <f t="shared" ref="G75:G91" si="8">F75/21.67</f>
        <v>10152.284263959391</v>
      </c>
      <c r="H75" s="529">
        <v>15</v>
      </c>
      <c r="I75" s="229">
        <f t="shared" ref="I75:I95" si="9">D75+H75</f>
        <v>15</v>
      </c>
      <c r="J75" s="231"/>
      <c r="K75" s="231"/>
      <c r="L75" s="218"/>
      <c r="M75" s="218"/>
      <c r="N75" s="218">
        <v>2</v>
      </c>
      <c r="O75" s="218"/>
      <c r="P75" s="218"/>
      <c r="Q75" s="218"/>
      <c r="R75" s="218"/>
      <c r="S75" s="218"/>
      <c r="T75" s="218"/>
      <c r="U75" s="218"/>
      <c r="V75" s="229">
        <f t="shared" ref="V75:V95" si="10">I75-J75-K75-L75-M75-N75-O75-P75-Q75-R75-S75-T75-U75</f>
        <v>13</v>
      </c>
      <c r="W75" s="507">
        <f t="shared" si="7"/>
        <v>131979.69543147209</v>
      </c>
    </row>
    <row r="76" spans="1:23" ht="15.6" x14ac:dyDescent="0.25">
      <c r="A76" s="522">
        <v>67</v>
      </c>
      <c r="B76" s="532" t="s">
        <v>668</v>
      </c>
      <c r="C76" s="532"/>
      <c r="D76" s="528">
        <v>5</v>
      </c>
      <c r="E76" s="218" t="s">
        <v>843</v>
      </c>
      <c r="F76" s="211">
        <v>180000</v>
      </c>
      <c r="G76" s="507">
        <f t="shared" si="8"/>
        <v>8306.4143977849562</v>
      </c>
      <c r="H76" s="529">
        <v>30</v>
      </c>
      <c r="I76" s="229">
        <f t="shared" si="9"/>
        <v>35</v>
      </c>
      <c r="J76" s="231">
        <v>4</v>
      </c>
      <c r="K76" s="231">
        <v>1</v>
      </c>
      <c r="L76" s="218">
        <v>2</v>
      </c>
      <c r="M76" s="218">
        <v>6</v>
      </c>
      <c r="N76" s="218"/>
      <c r="O76" s="218"/>
      <c r="P76" s="218"/>
      <c r="Q76" s="218"/>
      <c r="R76" s="218"/>
      <c r="S76" s="218"/>
      <c r="T76" s="218"/>
      <c r="U76" s="218"/>
      <c r="V76" s="229">
        <f t="shared" si="10"/>
        <v>22</v>
      </c>
      <c r="W76" s="507">
        <f t="shared" si="7"/>
        <v>182741.11675126903</v>
      </c>
    </row>
    <row r="77" spans="1:23" ht="15.6" x14ac:dyDescent="0.25">
      <c r="A77" s="526">
        <v>68</v>
      </c>
      <c r="B77" s="527" t="s">
        <v>669</v>
      </c>
      <c r="C77" s="527"/>
      <c r="D77" s="528">
        <v>0</v>
      </c>
      <c r="E77" s="218" t="s">
        <v>613</v>
      </c>
      <c r="F77" s="211">
        <v>27500</v>
      </c>
      <c r="G77" s="507">
        <f t="shared" si="8"/>
        <v>1269.0355329949239</v>
      </c>
      <c r="H77" s="529">
        <v>15</v>
      </c>
      <c r="I77" s="229">
        <f t="shared" si="9"/>
        <v>15</v>
      </c>
      <c r="J77" s="231"/>
      <c r="K77" s="231"/>
      <c r="L77" s="218"/>
      <c r="M77" s="218"/>
      <c r="N77" s="218"/>
      <c r="O77" s="218">
        <v>1</v>
      </c>
      <c r="P77" s="218"/>
      <c r="Q77" s="218"/>
      <c r="R77" s="218"/>
      <c r="S77" s="218"/>
      <c r="T77" s="218"/>
      <c r="U77" s="218"/>
      <c r="V77" s="229">
        <f t="shared" si="10"/>
        <v>14</v>
      </c>
      <c r="W77" s="507">
        <f t="shared" si="7"/>
        <v>17766.497461928935</v>
      </c>
    </row>
    <row r="78" spans="1:23" ht="15.6" x14ac:dyDescent="0.25">
      <c r="A78" s="526">
        <v>69</v>
      </c>
      <c r="B78" s="527" t="s">
        <v>670</v>
      </c>
      <c r="C78" s="527"/>
      <c r="D78" s="528">
        <v>6</v>
      </c>
      <c r="E78" s="218" t="s">
        <v>609</v>
      </c>
      <c r="F78" s="211">
        <v>66000</v>
      </c>
      <c r="G78" s="507">
        <f t="shared" si="8"/>
        <v>3045.6852791878168</v>
      </c>
      <c r="H78" s="529">
        <v>15</v>
      </c>
      <c r="I78" s="229">
        <f t="shared" si="9"/>
        <v>21</v>
      </c>
      <c r="J78" s="231"/>
      <c r="K78" s="231"/>
      <c r="L78" s="218">
        <v>12</v>
      </c>
      <c r="M78" s="218"/>
      <c r="N78" s="218"/>
      <c r="O78" s="218"/>
      <c r="P78" s="218"/>
      <c r="Q78" s="218"/>
      <c r="R78" s="218"/>
      <c r="S78" s="218"/>
      <c r="T78" s="218"/>
      <c r="U78" s="218"/>
      <c r="V78" s="229">
        <f t="shared" si="10"/>
        <v>9</v>
      </c>
      <c r="W78" s="507">
        <f t="shared" si="7"/>
        <v>27411.16751269035</v>
      </c>
    </row>
    <row r="79" spans="1:23" ht="15.6" x14ac:dyDescent="0.25">
      <c r="A79" s="522">
        <v>70</v>
      </c>
      <c r="B79" s="527" t="s">
        <v>671</v>
      </c>
      <c r="C79" s="527"/>
      <c r="D79" s="528">
        <v>9</v>
      </c>
      <c r="E79" s="218" t="s">
        <v>672</v>
      </c>
      <c r="F79" s="211">
        <v>35750</v>
      </c>
      <c r="G79" s="507">
        <f t="shared" si="8"/>
        <v>1649.7461928934008</v>
      </c>
      <c r="H79" s="529">
        <v>20</v>
      </c>
      <c r="I79" s="229">
        <f t="shared" si="9"/>
        <v>29</v>
      </c>
      <c r="J79" s="231">
        <v>14</v>
      </c>
      <c r="K79" s="231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29">
        <f t="shared" si="10"/>
        <v>15</v>
      </c>
      <c r="W79" s="507">
        <f t="shared" si="7"/>
        <v>24746.192893401014</v>
      </c>
    </row>
    <row r="80" spans="1:23" ht="15.6" x14ac:dyDescent="0.25">
      <c r="A80" s="526">
        <v>71</v>
      </c>
      <c r="B80" s="530" t="s">
        <v>792</v>
      </c>
      <c r="C80" s="530"/>
      <c r="D80" s="528">
        <v>30</v>
      </c>
      <c r="E80" s="218" t="s">
        <v>613</v>
      </c>
      <c r="F80" s="211">
        <v>22000</v>
      </c>
      <c r="G80" s="507">
        <f t="shared" si="8"/>
        <v>1015.228426395939</v>
      </c>
      <c r="H80" s="529">
        <v>30</v>
      </c>
      <c r="I80" s="229">
        <f t="shared" si="9"/>
        <v>60</v>
      </c>
      <c r="J80" s="231"/>
      <c r="K80" s="231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29">
        <f t="shared" si="10"/>
        <v>60</v>
      </c>
      <c r="W80" s="507">
        <f t="shared" si="7"/>
        <v>60913.705583756338</v>
      </c>
    </row>
    <row r="81" spans="1:23" ht="15.6" x14ac:dyDescent="0.25">
      <c r="A81" s="526">
        <v>72</v>
      </c>
      <c r="B81" s="527" t="s">
        <v>673</v>
      </c>
      <c r="C81" s="527"/>
      <c r="D81" s="528">
        <v>5</v>
      </c>
      <c r="E81" s="218" t="s">
        <v>661</v>
      </c>
      <c r="F81" s="211">
        <v>29370</v>
      </c>
      <c r="G81" s="507">
        <f t="shared" si="8"/>
        <v>1355.3299492385786</v>
      </c>
      <c r="H81" s="529">
        <v>30</v>
      </c>
      <c r="I81" s="229">
        <f t="shared" si="9"/>
        <v>35</v>
      </c>
      <c r="J81" s="231">
        <v>10</v>
      </c>
      <c r="K81" s="231"/>
      <c r="L81" s="218"/>
      <c r="M81" s="218"/>
      <c r="N81" s="218">
        <v>10</v>
      </c>
      <c r="O81" s="218"/>
      <c r="P81" s="218"/>
      <c r="Q81" s="218"/>
      <c r="R81" s="218"/>
      <c r="S81" s="218"/>
      <c r="T81" s="218"/>
      <c r="U81" s="218"/>
      <c r="V81" s="229">
        <f t="shared" si="10"/>
        <v>15</v>
      </c>
      <c r="W81" s="507">
        <f t="shared" si="7"/>
        <v>20329.94923857868</v>
      </c>
    </row>
    <row r="82" spans="1:23" ht="15.6" x14ac:dyDescent="0.25">
      <c r="A82" s="522">
        <v>73</v>
      </c>
      <c r="B82" s="530" t="s">
        <v>674</v>
      </c>
      <c r="C82" s="207" t="str">
        <f>VLOOKUP(B82,[1]Junio!$A$4:$A$23,1,0)</f>
        <v>RUBEN DARIO ALMONTE MATEO</v>
      </c>
      <c r="D82" s="528">
        <v>10</v>
      </c>
      <c r="E82" s="218" t="s">
        <v>782</v>
      </c>
      <c r="F82" s="211">
        <v>45000</v>
      </c>
      <c r="G82" s="507">
        <f t="shared" si="8"/>
        <v>2076.6035994462391</v>
      </c>
      <c r="H82" s="529">
        <v>30</v>
      </c>
      <c r="I82" s="229">
        <f t="shared" si="9"/>
        <v>40</v>
      </c>
      <c r="J82" s="231">
        <v>1</v>
      </c>
      <c r="K82" s="231"/>
      <c r="L82" s="218"/>
      <c r="M82" s="218">
        <v>8</v>
      </c>
      <c r="N82" s="218"/>
      <c r="O82" s="531">
        <v>1</v>
      </c>
      <c r="P82" s="218"/>
      <c r="Q82" s="218"/>
      <c r="R82" s="218"/>
      <c r="S82" s="218"/>
      <c r="T82" s="218"/>
      <c r="U82" s="218"/>
      <c r="V82" s="229">
        <f t="shared" si="10"/>
        <v>30</v>
      </c>
      <c r="W82" s="507">
        <f t="shared" si="7"/>
        <v>62298.10798338717</v>
      </c>
    </row>
    <row r="83" spans="1:23" ht="15.6" x14ac:dyDescent="0.25">
      <c r="A83" s="526">
        <v>74</v>
      </c>
      <c r="B83" s="530" t="s">
        <v>793</v>
      </c>
      <c r="C83" s="530"/>
      <c r="D83" s="528">
        <v>0</v>
      </c>
      <c r="E83" s="218" t="s">
        <v>661</v>
      </c>
      <c r="F83" s="211">
        <v>27500</v>
      </c>
      <c r="G83" s="507">
        <f t="shared" si="8"/>
        <v>1269.0355329949239</v>
      </c>
      <c r="H83" s="529">
        <v>15</v>
      </c>
      <c r="I83" s="229">
        <f t="shared" si="9"/>
        <v>15</v>
      </c>
      <c r="J83" s="231"/>
      <c r="K83" s="231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29">
        <f t="shared" si="10"/>
        <v>15</v>
      </c>
      <c r="W83" s="507">
        <f t="shared" si="7"/>
        <v>19035.532994923858</v>
      </c>
    </row>
    <row r="84" spans="1:23" ht="15.6" x14ac:dyDescent="0.25">
      <c r="A84" s="526">
        <v>75</v>
      </c>
      <c r="B84" s="530" t="s">
        <v>675</v>
      </c>
      <c r="C84" s="530"/>
      <c r="D84" s="528">
        <v>6</v>
      </c>
      <c r="E84" s="218" t="s">
        <v>676</v>
      </c>
      <c r="F84" s="211">
        <v>380000</v>
      </c>
      <c r="G84" s="507">
        <f t="shared" si="8"/>
        <v>17535.76372865713</v>
      </c>
      <c r="H84" s="529">
        <v>30</v>
      </c>
      <c r="I84" s="229">
        <f t="shared" si="9"/>
        <v>36</v>
      </c>
      <c r="J84" s="231"/>
      <c r="K84" s="231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29">
        <f t="shared" si="10"/>
        <v>36</v>
      </c>
      <c r="W84" s="507">
        <f t="shared" si="7"/>
        <v>631287.49423165666</v>
      </c>
    </row>
    <row r="85" spans="1:23" ht="15.75" customHeight="1" x14ac:dyDescent="0.25">
      <c r="A85" s="522">
        <v>76</v>
      </c>
      <c r="B85" s="527" t="s">
        <v>677</v>
      </c>
      <c r="C85" s="207" t="str">
        <f>VLOOKUP(B85,[1]Junio!$A$4:$A$23,1,0)</f>
        <v>SAMUEL JUNIOR ULLOA MARIANO</v>
      </c>
      <c r="D85" s="528">
        <v>0</v>
      </c>
      <c r="E85" s="218" t="s">
        <v>356</v>
      </c>
      <c r="F85" s="211">
        <v>120000</v>
      </c>
      <c r="G85" s="507">
        <f t="shared" si="8"/>
        <v>5537.6095985233032</v>
      </c>
      <c r="H85" s="529">
        <v>30</v>
      </c>
      <c r="I85" s="229">
        <f t="shared" si="9"/>
        <v>30</v>
      </c>
      <c r="J85" s="231"/>
      <c r="K85" s="231">
        <v>1</v>
      </c>
      <c r="L85" s="218"/>
      <c r="M85" s="218"/>
      <c r="N85" s="218"/>
      <c r="O85" s="531">
        <v>1</v>
      </c>
      <c r="P85" s="218">
        <v>9</v>
      </c>
      <c r="Q85" s="218"/>
      <c r="R85" s="218"/>
      <c r="S85" s="218"/>
      <c r="T85" s="218"/>
      <c r="U85" s="218"/>
      <c r="V85" s="229">
        <f t="shared" si="10"/>
        <v>19</v>
      </c>
      <c r="W85" s="507">
        <f t="shared" si="7"/>
        <v>105214.58237194276</v>
      </c>
    </row>
    <row r="86" spans="1:23" ht="15.6" x14ac:dyDescent="0.25">
      <c r="A86" s="526">
        <v>77</v>
      </c>
      <c r="B86" s="527" t="s">
        <v>678</v>
      </c>
      <c r="C86" s="207" t="str">
        <f>VLOOKUP(B86,[1]Junio!$A$4:$A$23,1,0)</f>
        <v>SARITA MARTINEZ FROMETA</v>
      </c>
      <c r="D86" s="528">
        <v>0</v>
      </c>
      <c r="E86" s="218" t="s">
        <v>609</v>
      </c>
      <c r="F86" s="211">
        <v>66000</v>
      </c>
      <c r="G86" s="507">
        <f t="shared" si="8"/>
        <v>3045.6852791878168</v>
      </c>
      <c r="H86" s="529">
        <v>30</v>
      </c>
      <c r="I86" s="229">
        <f t="shared" si="9"/>
        <v>30</v>
      </c>
      <c r="J86" s="231"/>
      <c r="K86" s="231"/>
      <c r="L86" s="218"/>
      <c r="M86" s="218"/>
      <c r="N86" s="218">
        <v>7</v>
      </c>
      <c r="O86" s="531">
        <v>1</v>
      </c>
      <c r="P86" s="218"/>
      <c r="Q86" s="218"/>
      <c r="R86" s="218"/>
      <c r="S86" s="218"/>
      <c r="T86" s="218"/>
      <c r="U86" s="218"/>
      <c r="V86" s="229">
        <f t="shared" si="10"/>
        <v>22</v>
      </c>
      <c r="W86" s="507">
        <f t="shared" si="7"/>
        <v>67005.076142131977</v>
      </c>
    </row>
    <row r="87" spans="1:23" ht="15.6" x14ac:dyDescent="0.25">
      <c r="A87" s="526">
        <v>78</v>
      </c>
      <c r="B87" s="527" t="s">
        <v>679</v>
      </c>
      <c r="C87" s="527"/>
      <c r="D87" s="528">
        <v>15</v>
      </c>
      <c r="E87" s="218" t="s">
        <v>613</v>
      </c>
      <c r="F87" s="211">
        <v>20000</v>
      </c>
      <c r="G87" s="507">
        <f t="shared" si="8"/>
        <v>922.93493308721725</v>
      </c>
      <c r="H87" s="529">
        <v>15</v>
      </c>
      <c r="I87" s="229">
        <f t="shared" si="9"/>
        <v>30</v>
      </c>
      <c r="J87" s="231"/>
      <c r="K87" s="231">
        <v>13</v>
      </c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29">
        <f t="shared" si="10"/>
        <v>17</v>
      </c>
      <c r="W87" s="507">
        <f t="shared" si="7"/>
        <v>15689.893862482693</v>
      </c>
    </row>
    <row r="88" spans="1:23" ht="15.6" x14ac:dyDescent="0.25">
      <c r="A88" s="522">
        <v>79</v>
      </c>
      <c r="B88" s="527" t="s">
        <v>794</v>
      </c>
      <c r="C88" s="527"/>
      <c r="D88" s="528">
        <v>5</v>
      </c>
      <c r="E88" s="218" t="s">
        <v>680</v>
      </c>
      <c r="F88" s="211">
        <v>100000</v>
      </c>
      <c r="G88" s="507">
        <f t="shared" si="8"/>
        <v>4614.6746654360868</v>
      </c>
      <c r="H88" s="529">
        <v>25</v>
      </c>
      <c r="I88" s="229">
        <f t="shared" si="9"/>
        <v>30</v>
      </c>
      <c r="J88" s="231"/>
      <c r="K88" s="231"/>
      <c r="L88" s="218">
        <v>15</v>
      </c>
      <c r="M88" s="218"/>
      <c r="N88" s="218"/>
      <c r="O88" s="218"/>
      <c r="P88" s="218"/>
      <c r="Q88" s="218"/>
      <c r="R88" s="218"/>
      <c r="S88" s="218"/>
      <c r="T88" s="218"/>
      <c r="U88" s="218"/>
      <c r="V88" s="229">
        <f t="shared" si="10"/>
        <v>15</v>
      </c>
      <c r="W88" s="507">
        <f t="shared" si="7"/>
        <v>69220.119981541298</v>
      </c>
    </row>
    <row r="89" spans="1:23" ht="15.6" x14ac:dyDescent="0.25">
      <c r="A89" s="526">
        <v>80</v>
      </c>
      <c r="B89" s="530" t="s">
        <v>681</v>
      </c>
      <c r="C89" s="530"/>
      <c r="D89" s="528">
        <v>20</v>
      </c>
      <c r="E89" s="218" t="s">
        <v>640</v>
      </c>
      <c r="F89" s="211">
        <v>66000</v>
      </c>
      <c r="G89" s="507">
        <f t="shared" si="8"/>
        <v>3045.6852791878168</v>
      </c>
      <c r="H89" s="529">
        <v>30</v>
      </c>
      <c r="I89" s="229">
        <f t="shared" si="9"/>
        <v>50</v>
      </c>
      <c r="J89" s="231"/>
      <c r="K89" s="231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29">
        <f t="shared" si="10"/>
        <v>50</v>
      </c>
      <c r="W89" s="507">
        <f t="shared" si="7"/>
        <v>152284.26395939084</v>
      </c>
    </row>
    <row r="90" spans="1:23" ht="15.6" x14ac:dyDescent="0.25">
      <c r="A90" s="526">
        <v>81</v>
      </c>
      <c r="B90" s="530" t="s">
        <v>682</v>
      </c>
      <c r="C90" s="530"/>
      <c r="D90" s="528">
        <v>0</v>
      </c>
      <c r="E90" s="218" t="s">
        <v>683</v>
      </c>
      <c r="F90" s="211">
        <v>170000</v>
      </c>
      <c r="G90" s="507">
        <f t="shared" si="8"/>
        <v>7844.9469312413466</v>
      </c>
      <c r="H90" s="529">
        <v>30</v>
      </c>
      <c r="I90" s="229">
        <f t="shared" si="9"/>
        <v>30</v>
      </c>
      <c r="J90" s="231"/>
      <c r="K90" s="231"/>
      <c r="L90" s="218"/>
      <c r="M90" s="218"/>
      <c r="N90" s="218">
        <v>6</v>
      </c>
      <c r="O90" s="218"/>
      <c r="P90" s="218"/>
      <c r="Q90" s="218"/>
      <c r="R90" s="218"/>
      <c r="S90" s="218"/>
      <c r="T90" s="218"/>
      <c r="U90" s="218"/>
      <c r="V90" s="229">
        <f t="shared" si="10"/>
        <v>24</v>
      </c>
      <c r="W90" s="507">
        <f t="shared" si="7"/>
        <v>188278.72634979233</v>
      </c>
    </row>
    <row r="91" spans="1:23" ht="15.6" x14ac:dyDescent="0.25">
      <c r="A91" s="522">
        <v>82</v>
      </c>
      <c r="B91" s="532" t="s">
        <v>684</v>
      </c>
      <c r="C91" s="532"/>
      <c r="D91" s="528">
        <v>9</v>
      </c>
      <c r="E91" s="218" t="s">
        <v>613</v>
      </c>
      <c r="F91" s="211">
        <v>22000</v>
      </c>
      <c r="G91" s="507">
        <f t="shared" si="8"/>
        <v>1015.228426395939</v>
      </c>
      <c r="H91" s="529">
        <v>15</v>
      </c>
      <c r="I91" s="229">
        <f t="shared" si="9"/>
        <v>24</v>
      </c>
      <c r="J91" s="231"/>
      <c r="K91" s="231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29">
        <f t="shared" si="10"/>
        <v>24</v>
      </c>
      <c r="W91" s="507">
        <f t="shared" si="7"/>
        <v>24365.482233502535</v>
      </c>
    </row>
    <row r="92" spans="1:23" ht="15.6" x14ac:dyDescent="0.25">
      <c r="A92" s="526">
        <v>83</v>
      </c>
      <c r="B92" s="218" t="s">
        <v>795</v>
      </c>
      <c r="C92" s="218"/>
      <c r="D92" s="528">
        <v>0</v>
      </c>
      <c r="E92" s="218" t="s">
        <v>796</v>
      </c>
      <c r="F92" s="211">
        <v>20000</v>
      </c>
      <c r="G92" s="507">
        <f>F92/21.67</f>
        <v>922.93493308721725</v>
      </c>
      <c r="H92" s="529">
        <v>15</v>
      </c>
      <c r="I92" s="229">
        <f t="shared" si="9"/>
        <v>15</v>
      </c>
      <c r="J92" s="231"/>
      <c r="K92" s="231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29">
        <f t="shared" si="10"/>
        <v>15</v>
      </c>
      <c r="W92" s="507">
        <f t="shared" si="7"/>
        <v>13844.023996308259</v>
      </c>
    </row>
    <row r="93" spans="1:23" ht="15.6" x14ac:dyDescent="0.25">
      <c r="A93" s="526">
        <v>84</v>
      </c>
      <c r="B93" s="218" t="s">
        <v>685</v>
      </c>
      <c r="C93" s="218"/>
      <c r="D93" s="528">
        <v>5</v>
      </c>
      <c r="E93" s="218" t="s">
        <v>620</v>
      </c>
      <c r="F93" s="211">
        <v>27500</v>
      </c>
      <c r="G93" s="507">
        <f>F93/21.67</f>
        <v>1269.0355329949239</v>
      </c>
      <c r="H93" s="529">
        <v>30</v>
      </c>
      <c r="I93" s="229">
        <f t="shared" si="9"/>
        <v>35</v>
      </c>
      <c r="J93" s="231"/>
      <c r="K93" s="231"/>
      <c r="L93" s="218"/>
      <c r="M93" s="218">
        <v>4</v>
      </c>
      <c r="N93" s="218"/>
      <c r="O93" s="218"/>
      <c r="P93" s="218"/>
      <c r="Q93" s="218"/>
      <c r="R93" s="218"/>
      <c r="S93" s="218"/>
      <c r="T93" s="218"/>
      <c r="U93" s="218"/>
      <c r="V93" s="229">
        <f t="shared" si="10"/>
        <v>31</v>
      </c>
      <c r="W93" s="507">
        <f t="shared" si="7"/>
        <v>39340.10152284264</v>
      </c>
    </row>
    <row r="94" spans="1:23" ht="15.6" x14ac:dyDescent="0.25">
      <c r="A94" s="522">
        <v>85</v>
      </c>
      <c r="B94" s="218" t="s">
        <v>686</v>
      </c>
      <c r="C94" s="218"/>
      <c r="D94" s="528">
        <v>7</v>
      </c>
      <c r="E94" s="218" t="s">
        <v>622</v>
      </c>
      <c r="F94" s="211">
        <v>25000</v>
      </c>
      <c r="G94" s="507">
        <f t="shared" ref="G94:G95" si="11">F94/21.67</f>
        <v>1153.6686663590217</v>
      </c>
      <c r="H94" s="529">
        <v>15</v>
      </c>
      <c r="I94" s="229">
        <f t="shared" si="9"/>
        <v>22</v>
      </c>
      <c r="J94" s="231">
        <v>1</v>
      </c>
      <c r="K94" s="231"/>
      <c r="L94" s="218"/>
      <c r="M94" s="218">
        <v>1</v>
      </c>
      <c r="N94" s="218"/>
      <c r="O94" s="218"/>
      <c r="P94" s="218"/>
      <c r="Q94" s="218"/>
      <c r="R94" s="218"/>
      <c r="S94" s="218"/>
      <c r="T94" s="218"/>
      <c r="U94" s="218"/>
      <c r="V94" s="229">
        <f t="shared" si="10"/>
        <v>20</v>
      </c>
      <c r="W94" s="507">
        <f t="shared" si="7"/>
        <v>23073.373327180434</v>
      </c>
    </row>
    <row r="95" spans="1:23" ht="15.6" x14ac:dyDescent="0.25">
      <c r="A95" s="526">
        <v>86</v>
      </c>
      <c r="B95" s="218" t="s">
        <v>687</v>
      </c>
      <c r="C95" s="218"/>
      <c r="D95" s="528">
        <v>1</v>
      </c>
      <c r="E95" s="218" t="s">
        <v>617</v>
      </c>
      <c r="F95" s="211">
        <v>88000</v>
      </c>
      <c r="G95" s="507">
        <f t="shared" si="11"/>
        <v>4060.9137055837559</v>
      </c>
      <c r="H95" s="529">
        <v>25</v>
      </c>
      <c r="I95" s="229">
        <f t="shared" si="9"/>
        <v>26</v>
      </c>
      <c r="J95" s="231"/>
      <c r="K95" s="231"/>
      <c r="L95" s="218"/>
      <c r="M95" s="218">
        <v>6</v>
      </c>
      <c r="N95" s="218"/>
      <c r="O95" s="218"/>
      <c r="P95" s="218"/>
      <c r="Q95" s="218"/>
      <c r="R95" s="218"/>
      <c r="S95" s="218"/>
      <c r="T95" s="218"/>
      <c r="U95" s="218"/>
      <c r="V95" s="229">
        <f t="shared" si="10"/>
        <v>20</v>
      </c>
      <c r="W95" s="507">
        <f t="shared" si="7"/>
        <v>81218.274111675113</v>
      </c>
    </row>
    <row r="96" spans="1:23" x14ac:dyDescent="0.25">
      <c r="W96" s="25">
        <f>SUM(W7:W95)</f>
        <v>8900994.4623904023</v>
      </c>
    </row>
    <row r="97" spans="1:23" x14ac:dyDescent="0.25">
      <c r="W97" s="535" t="s">
        <v>841</v>
      </c>
    </row>
    <row r="98" spans="1:23" ht="15.6" x14ac:dyDescent="0.25">
      <c r="B98" s="515"/>
      <c r="C98" s="515"/>
      <c r="D98" s="5"/>
      <c r="J98" s="5"/>
      <c r="K98" s="5"/>
      <c r="W98" s="36">
        <f>+W96/12</f>
        <v>741749.53853253357</v>
      </c>
    </row>
    <row r="99" spans="1:23" ht="15.6" x14ac:dyDescent="0.25">
      <c r="A99" s="515"/>
      <c r="B99" s="515"/>
      <c r="C99" s="515"/>
      <c r="D99" s="5"/>
      <c r="J99" s="5"/>
      <c r="K99" s="5"/>
    </row>
    <row r="100" spans="1:23" s="5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23" s="5" customForma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23" s="5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23" s="5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23" s="5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23" s="5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23" s="5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23" s="5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</sheetData>
  <conditionalFormatting sqref="D11:D16 D20:D25 D27:D28 D30 D32:D35 D39:D40 D43 D45 D49:D50 D52:D64 D67:D69 D71:D74 D76 D78 D84:D95">
    <cfRule type="cellIs" dxfId="0" priority="1" operator="equal">
      <formula>0</formula>
    </cfRule>
  </conditionalFormatting>
  <pageMargins left="0.31496062992125984" right="0" top="0.55118110236220474" bottom="0.35433070866141736" header="0.31496062992125984" footer="0.31496062992125984"/>
  <pageSetup scale="39" orientation="portrait" horizontalDpi="1200" r:id="rId1"/>
  <colBreaks count="1" manualBreakCount="1">
    <brk id="1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G42"/>
  <sheetViews>
    <sheetView zoomScaleNormal="100" workbookViewId="0">
      <selection activeCell="G32" sqref="G32"/>
    </sheetView>
  </sheetViews>
  <sheetFormatPr baseColWidth="10" defaultColWidth="11.44140625" defaultRowHeight="15" x14ac:dyDescent="0.25"/>
  <cols>
    <col min="1" max="1" width="30" style="4" customWidth="1"/>
    <col min="2" max="2" width="22" style="4" bestFit="1" customWidth="1"/>
    <col min="3" max="3" width="20.88671875" style="4" customWidth="1"/>
    <col min="4" max="5" width="11.44140625" style="4"/>
    <col min="6" max="6" width="14.6640625" style="4" bestFit="1" customWidth="1"/>
    <col min="7" max="7" width="16.44140625" style="4" bestFit="1" customWidth="1"/>
    <col min="8" max="8" width="12.6640625" style="4" bestFit="1" customWidth="1"/>
    <col min="9" max="16384" width="11.44140625" style="4"/>
  </cols>
  <sheetData>
    <row r="2" spans="1:7" x14ac:dyDescent="0.25">
      <c r="B2" s="30"/>
    </row>
    <row r="3" spans="1:7" x14ac:dyDescent="0.25">
      <c r="B3" s="30"/>
    </row>
    <row r="4" spans="1:7" ht="15.6" x14ac:dyDescent="0.3">
      <c r="A4" s="240"/>
      <c r="B4" s="240"/>
      <c r="C4" s="240"/>
      <c r="D4" s="240"/>
      <c r="E4" s="240"/>
    </row>
    <row r="5" spans="1:7" ht="18.75" customHeight="1" x14ac:dyDescent="0.3">
      <c r="A5" s="47" t="s">
        <v>566</v>
      </c>
      <c r="B5" s="536"/>
      <c r="C5" s="536"/>
      <c r="D5" s="536"/>
      <c r="E5" s="536"/>
    </row>
    <row r="6" spans="1:7" ht="18.75" customHeight="1" x14ac:dyDescent="0.3">
      <c r="A6" s="47" t="s">
        <v>693</v>
      </c>
      <c r="B6" s="536"/>
      <c r="C6" s="536"/>
      <c r="D6" s="536"/>
      <c r="E6" s="536"/>
      <c r="G6" s="36"/>
    </row>
    <row r="7" spans="1:7" ht="16.2" thickBot="1" x14ac:dyDescent="0.35">
      <c r="A7" s="47"/>
      <c r="B7" s="536"/>
      <c r="C7" s="536"/>
      <c r="D7" s="536"/>
      <c r="E7" s="536"/>
      <c r="G7" s="36"/>
    </row>
    <row r="8" spans="1:7" ht="18.75" customHeight="1" thickBot="1" x14ac:dyDescent="0.35">
      <c r="A8" s="487" t="s">
        <v>548</v>
      </c>
      <c r="B8" s="537" t="s">
        <v>258</v>
      </c>
      <c r="C8" s="323"/>
      <c r="G8" s="36"/>
    </row>
    <row r="9" spans="1:7" x14ac:dyDescent="0.25">
      <c r="A9" s="538" t="s">
        <v>567</v>
      </c>
      <c r="B9" s="539">
        <v>477860</v>
      </c>
      <c r="C9" s="323"/>
      <c r="G9" s="36"/>
    </row>
    <row r="10" spans="1:7" x14ac:dyDescent="0.25">
      <c r="A10" s="243" t="s">
        <v>568</v>
      </c>
      <c r="B10" s="540">
        <f>+'[2]Provision Regalia nav'!$H$7</f>
        <v>8399520</v>
      </c>
      <c r="C10" s="323"/>
      <c r="G10" s="36"/>
    </row>
    <row r="11" spans="1:7" ht="16.8" x14ac:dyDescent="0.4">
      <c r="A11" s="243" t="s">
        <v>569</v>
      </c>
      <c r="B11" s="541">
        <v>870000</v>
      </c>
      <c r="C11" s="323"/>
      <c r="G11" s="36"/>
    </row>
    <row r="12" spans="1:7" ht="17.399999999999999" x14ac:dyDescent="0.45">
      <c r="A12" s="497" t="s">
        <v>274</v>
      </c>
      <c r="B12" s="234">
        <f>SUM(B9:B11)</f>
        <v>9747380</v>
      </c>
      <c r="C12" s="323"/>
      <c r="G12" s="36"/>
    </row>
    <row r="13" spans="1:7" x14ac:dyDescent="0.25">
      <c r="A13" s="243"/>
      <c r="B13" s="540"/>
      <c r="C13" s="323"/>
      <c r="G13" s="36"/>
    </row>
    <row r="14" spans="1:7" x14ac:dyDescent="0.25">
      <c r="A14" s="30"/>
      <c r="B14" s="542"/>
      <c r="C14" s="323"/>
      <c r="G14" s="36"/>
    </row>
    <row r="15" spans="1:7" ht="15.6" thickBot="1" x14ac:dyDescent="0.3">
      <c r="A15" s="323" t="s">
        <v>570</v>
      </c>
      <c r="B15" s="30"/>
      <c r="C15" s="323"/>
      <c r="G15" s="36"/>
    </row>
    <row r="16" spans="1:7" ht="16.2" thickBot="1" x14ac:dyDescent="0.35">
      <c r="A16" s="4" t="s">
        <v>571</v>
      </c>
      <c r="B16" s="543">
        <f>+B12/12</f>
        <v>812281.66666666663</v>
      </c>
      <c r="G16" s="36"/>
    </row>
    <row r="17" spans="1:7" ht="15.6" x14ac:dyDescent="0.3">
      <c r="A17" s="30"/>
      <c r="B17" s="323"/>
      <c r="C17" s="73"/>
      <c r="G17" s="36"/>
    </row>
    <row r="18" spans="1:7" ht="15.6" x14ac:dyDescent="0.3">
      <c r="C18" s="73"/>
      <c r="G18" s="36"/>
    </row>
    <row r="19" spans="1:7" ht="33" customHeight="1" thickBot="1" x14ac:dyDescent="0.35">
      <c r="A19" s="30"/>
      <c r="B19" s="323"/>
      <c r="C19" s="73"/>
      <c r="G19" s="36"/>
    </row>
    <row r="20" spans="1:7" ht="19.5" customHeight="1" thickBot="1" x14ac:dyDescent="0.35">
      <c r="A20" s="503" t="s">
        <v>735</v>
      </c>
      <c r="B20" s="504" t="s">
        <v>258</v>
      </c>
      <c r="C20" s="505" t="s">
        <v>736</v>
      </c>
      <c r="G20" s="36"/>
    </row>
    <row r="21" spans="1:7" x14ac:dyDescent="0.25">
      <c r="A21" s="4" t="s">
        <v>565</v>
      </c>
      <c r="B21" s="36">
        <f>+B16</f>
        <v>812281.66666666663</v>
      </c>
      <c r="C21" s="323">
        <f>+B21</f>
        <v>812281.66666666663</v>
      </c>
      <c r="G21" s="36"/>
    </row>
    <row r="22" spans="1:7" x14ac:dyDescent="0.25">
      <c r="A22" s="4" t="s">
        <v>572</v>
      </c>
      <c r="B22" s="36">
        <f>+B21</f>
        <v>812281.66666666663</v>
      </c>
      <c r="C22" s="323">
        <f>SUM(B21:B22)</f>
        <v>1624563.3333333333</v>
      </c>
    </row>
    <row r="23" spans="1:7" x14ac:dyDescent="0.25">
      <c r="A23" s="4" t="s">
        <v>555</v>
      </c>
      <c r="B23" s="36">
        <f>+B22</f>
        <v>812281.66666666663</v>
      </c>
      <c r="C23" s="323">
        <f>SUM(B21:B23)+0.01</f>
        <v>2436845.0099999998</v>
      </c>
    </row>
    <row r="24" spans="1:7" x14ac:dyDescent="0.25">
      <c r="A24" s="4" t="s">
        <v>556</v>
      </c>
      <c r="B24" s="36">
        <f>+B23</f>
        <v>812281.66666666663</v>
      </c>
      <c r="C24" s="36">
        <f>+C23+B24</f>
        <v>3249126.6766666663</v>
      </c>
    </row>
    <row r="25" spans="1:7" x14ac:dyDescent="0.25">
      <c r="A25" s="4" t="s">
        <v>557</v>
      </c>
      <c r="B25" s="36">
        <f>+B24</f>
        <v>812281.66666666663</v>
      </c>
      <c r="C25" s="36">
        <f>+C24+B25</f>
        <v>4061408.3433333328</v>
      </c>
    </row>
    <row r="26" spans="1:7" x14ac:dyDescent="0.25">
      <c r="A26" s="303" t="s">
        <v>558</v>
      </c>
      <c r="B26" s="51">
        <f>+B25</f>
        <v>812281.66666666663</v>
      </c>
      <c r="C26" s="51">
        <f>+C25+B26</f>
        <v>4873690.01</v>
      </c>
    </row>
    <row r="27" spans="1:7" hidden="1" x14ac:dyDescent="0.25">
      <c r="A27" s="4" t="s">
        <v>559</v>
      </c>
      <c r="B27" s="36"/>
      <c r="C27" s="323"/>
    </row>
    <row r="28" spans="1:7" hidden="1" x14ac:dyDescent="0.25">
      <c r="A28" s="4" t="s">
        <v>560</v>
      </c>
      <c r="B28" s="36"/>
      <c r="C28" s="323"/>
    </row>
    <row r="29" spans="1:7" hidden="1" x14ac:dyDescent="0.25">
      <c r="A29" s="4" t="s">
        <v>561</v>
      </c>
      <c r="B29" s="36"/>
      <c r="C29" s="323"/>
    </row>
    <row r="30" spans="1:7" hidden="1" x14ac:dyDescent="0.25">
      <c r="A30" s="4" t="s">
        <v>562</v>
      </c>
      <c r="B30" s="36"/>
      <c r="C30" s="323"/>
    </row>
    <row r="31" spans="1:7" hidden="1" x14ac:dyDescent="0.25">
      <c r="A31" s="4" t="s">
        <v>563</v>
      </c>
      <c r="B31" s="36"/>
      <c r="C31" s="323"/>
    </row>
    <row r="32" spans="1:7" hidden="1" x14ac:dyDescent="0.25">
      <c r="A32" s="37" t="s">
        <v>689</v>
      </c>
      <c r="B32" s="51"/>
      <c r="C32" s="323"/>
    </row>
    <row r="33" spans="1:4" ht="16.2" thickBot="1" x14ac:dyDescent="0.35">
      <c r="A33" s="544" t="s">
        <v>564</v>
      </c>
      <c r="B33" s="545">
        <f>SUM(B21:B32)</f>
        <v>4873690</v>
      </c>
    </row>
    <row r="34" spans="1:4" ht="15.6" thickTop="1" x14ac:dyDescent="0.25">
      <c r="A34" s="30"/>
      <c r="B34" s="30"/>
      <c r="C34" s="36"/>
      <c r="D34" s="323"/>
    </row>
    <row r="36" spans="1:4" x14ac:dyDescent="0.25">
      <c r="A36" s="4" t="s">
        <v>571</v>
      </c>
      <c r="B36" s="323">
        <f>+B16</f>
        <v>812281.66666666663</v>
      </c>
    </row>
    <row r="37" spans="1:4" x14ac:dyDescent="0.25">
      <c r="A37" s="30" t="s">
        <v>839</v>
      </c>
      <c r="B37" s="2">
        <v>746385.84</v>
      </c>
    </row>
    <row r="38" spans="1:4" ht="16.2" thickBot="1" x14ac:dyDescent="0.35">
      <c r="A38" s="240" t="s">
        <v>699</v>
      </c>
      <c r="B38" s="514">
        <f>+B36-B37</f>
        <v>65895.82666666666</v>
      </c>
    </row>
    <row r="39" spans="1:4" ht="15.6" thickTop="1" x14ac:dyDescent="0.25"/>
    <row r="42" spans="1:4" x14ac:dyDescent="0.25">
      <c r="C42" s="25"/>
    </row>
  </sheetData>
  <phoneticPr fontId="62" type="noConversion"/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7A020-B7FC-4810-BA6C-C89B01CB0D08}">
  <dimension ref="A2:E64"/>
  <sheetViews>
    <sheetView topLeftCell="A4" zoomScaleNormal="100" workbookViewId="0">
      <selection activeCell="G32" sqref="G32"/>
    </sheetView>
  </sheetViews>
  <sheetFormatPr baseColWidth="10" defaultColWidth="11.44140625" defaultRowHeight="24.75" customHeight="1" x14ac:dyDescent="0.25"/>
  <cols>
    <col min="1" max="1" width="61.88671875" style="4" customWidth="1"/>
    <col min="2" max="2" width="23.6640625" style="4" customWidth="1"/>
    <col min="3" max="3" width="15.33203125" style="4" bestFit="1" customWidth="1"/>
    <col min="4" max="4" width="23.88671875" style="4" customWidth="1"/>
    <col min="5" max="5" width="16.44140625" style="4" bestFit="1" customWidth="1"/>
    <col min="6" max="16384" width="11.44140625" style="4"/>
  </cols>
  <sheetData>
    <row r="2" spans="1:4" ht="24.75" customHeight="1" x14ac:dyDescent="0.3">
      <c r="A2" s="47"/>
      <c r="B2" s="47"/>
    </row>
    <row r="3" spans="1:4" ht="24.75" customHeight="1" x14ac:dyDescent="0.3">
      <c r="A3" s="47"/>
      <c r="B3" s="47"/>
    </row>
    <row r="4" spans="1:4" ht="24.75" customHeight="1" x14ac:dyDescent="0.3">
      <c r="A4" s="585" t="s">
        <v>573</v>
      </c>
      <c r="B4" s="585"/>
    </row>
    <row r="5" spans="1:4" ht="24.75" customHeight="1" x14ac:dyDescent="0.3">
      <c r="A5" s="585" t="s">
        <v>255</v>
      </c>
      <c r="B5" s="585"/>
    </row>
    <row r="6" spans="1:4" ht="24.75" customHeight="1" x14ac:dyDescent="0.3">
      <c r="A6" s="585" t="s">
        <v>574</v>
      </c>
      <c r="B6" s="585"/>
    </row>
    <row r="7" spans="1:4" ht="24.75" customHeight="1" x14ac:dyDescent="0.3">
      <c r="A7" s="595">
        <v>45838</v>
      </c>
      <c r="B7" s="595"/>
    </row>
    <row r="8" spans="1:4" ht="24.75" customHeight="1" thickBot="1" x14ac:dyDescent="0.35">
      <c r="A8" s="139"/>
    </row>
    <row r="9" spans="1:4" ht="24.75" customHeight="1" thickBot="1" x14ac:dyDescent="0.35">
      <c r="A9" s="260" t="s">
        <v>241</v>
      </c>
      <c r="B9" s="237" t="s">
        <v>258</v>
      </c>
    </row>
    <row r="10" spans="1:4" ht="24.75" customHeight="1" x14ac:dyDescent="0.25">
      <c r="A10" s="261" t="s">
        <v>575</v>
      </c>
      <c r="B10" s="546">
        <v>233066.65</v>
      </c>
      <c r="D10" s="553"/>
    </row>
    <row r="11" spans="1:4" ht="24.75" customHeight="1" x14ac:dyDescent="0.25">
      <c r="A11" s="149" t="s">
        <v>833</v>
      </c>
      <c r="B11" s="547">
        <v>1525278.3</v>
      </c>
      <c r="D11" s="553"/>
    </row>
    <row r="12" spans="1:4" ht="24.75" hidden="1" customHeight="1" x14ac:dyDescent="0.25">
      <c r="A12" s="149" t="s">
        <v>798</v>
      </c>
      <c r="B12" s="547"/>
      <c r="D12" s="553"/>
    </row>
    <row r="13" spans="1:4" ht="24.75" customHeight="1" x14ac:dyDescent="0.25">
      <c r="A13" s="149" t="s">
        <v>576</v>
      </c>
      <c r="B13" s="547">
        <v>231083.87</v>
      </c>
      <c r="D13" s="553"/>
    </row>
    <row r="14" spans="1:4" ht="24.75" customHeight="1" x14ac:dyDescent="0.25">
      <c r="A14" s="149" t="s">
        <v>577</v>
      </c>
      <c r="B14" s="455">
        <v>0</v>
      </c>
      <c r="D14" s="553"/>
    </row>
    <row r="15" spans="1:4" ht="24.75" customHeight="1" x14ac:dyDescent="0.4">
      <c r="A15" s="149" t="s">
        <v>578</v>
      </c>
      <c r="B15" s="548">
        <v>0</v>
      </c>
      <c r="D15" s="36"/>
    </row>
    <row r="16" spans="1:4" ht="24.75" customHeight="1" x14ac:dyDescent="0.45">
      <c r="A16" s="158" t="s">
        <v>330</v>
      </c>
      <c r="B16" s="549">
        <f>SUM(B10:B15)</f>
        <v>1989428.8199999998</v>
      </c>
      <c r="D16" s="25"/>
    </row>
    <row r="17" spans="1:3" ht="24.75" customHeight="1" thickBot="1" x14ac:dyDescent="0.35">
      <c r="A17" s="184"/>
      <c r="B17" s="550"/>
    </row>
    <row r="18" spans="1:3" ht="24.75" customHeight="1" x14ac:dyDescent="0.3">
      <c r="A18" s="47"/>
      <c r="B18" s="47"/>
    </row>
    <row r="19" spans="1:3" ht="24.75" customHeight="1" x14ac:dyDescent="0.3">
      <c r="A19" s="47"/>
      <c r="B19" s="331"/>
      <c r="C19" s="25"/>
    </row>
    <row r="20" spans="1:3" ht="24.75" customHeight="1" x14ac:dyDescent="0.3">
      <c r="A20" s="47"/>
      <c r="B20" s="331"/>
      <c r="C20" s="25"/>
    </row>
    <row r="21" spans="1:3" ht="24.75" customHeight="1" x14ac:dyDescent="0.3">
      <c r="A21" s="47"/>
      <c r="B21" s="331" t="s">
        <v>0</v>
      </c>
      <c r="C21" s="25"/>
    </row>
    <row r="22" spans="1:3" ht="24.75" customHeight="1" x14ac:dyDescent="0.3">
      <c r="A22" s="47"/>
      <c r="B22" s="331"/>
      <c r="C22" s="25"/>
    </row>
    <row r="23" spans="1:3" ht="24.75" customHeight="1" x14ac:dyDescent="0.3">
      <c r="A23" s="47"/>
      <c r="B23" s="331"/>
      <c r="C23" s="25"/>
    </row>
    <row r="24" spans="1:3" ht="24.75" customHeight="1" x14ac:dyDescent="0.3">
      <c r="A24" s="585" t="str">
        <f>+A4</f>
        <v>NOTA 12</v>
      </c>
      <c r="B24" s="585"/>
    </row>
    <row r="25" spans="1:3" ht="24.75" customHeight="1" x14ac:dyDescent="0.3">
      <c r="A25" s="585" t="str">
        <f>+A5</f>
        <v>Cédula de detalle de cuentas</v>
      </c>
      <c r="B25" s="585"/>
    </row>
    <row r="26" spans="1:3" ht="24.75" customHeight="1" x14ac:dyDescent="0.3">
      <c r="A26" s="585" t="s">
        <v>577</v>
      </c>
      <c r="B26" s="585"/>
    </row>
    <row r="27" spans="1:3" ht="24.75" customHeight="1" x14ac:dyDescent="0.3">
      <c r="A27" s="595">
        <f>+A7</f>
        <v>45838</v>
      </c>
      <c r="B27" s="595"/>
    </row>
    <row r="28" spans="1:3" ht="24.75" customHeight="1" thickBot="1" x14ac:dyDescent="0.35">
      <c r="A28" s="139"/>
    </row>
    <row r="29" spans="1:3" ht="24.75" customHeight="1" thickBot="1" x14ac:dyDescent="0.35">
      <c r="A29" s="141" t="s">
        <v>241</v>
      </c>
      <c r="B29" s="143" t="s">
        <v>258</v>
      </c>
    </row>
    <row r="30" spans="1:3" ht="24.75" hidden="1" customHeight="1" x14ac:dyDescent="0.25">
      <c r="A30" s="145" t="s">
        <v>533</v>
      </c>
      <c r="B30" s="349"/>
    </row>
    <row r="31" spans="1:3" ht="24.75" hidden="1" customHeight="1" x14ac:dyDescent="0.25">
      <c r="A31" s="145" t="s">
        <v>691</v>
      </c>
      <c r="B31" s="349"/>
    </row>
    <row r="32" spans="1:3" ht="24.75" customHeight="1" x14ac:dyDescent="0.25">
      <c r="A32" s="145"/>
      <c r="B32" s="349"/>
    </row>
    <row r="33" spans="1:4" ht="24.75" customHeight="1" x14ac:dyDescent="0.4">
      <c r="A33" s="145"/>
      <c r="B33" s="350"/>
    </row>
    <row r="34" spans="1:4" ht="24.75" customHeight="1" x14ac:dyDescent="0.45">
      <c r="A34" s="149"/>
      <c r="B34" s="351">
        <f>SUM(B32:B33)</f>
        <v>0</v>
      </c>
    </row>
    <row r="35" spans="1:4" ht="24.75" customHeight="1" thickBot="1" x14ac:dyDescent="0.3">
      <c r="A35" s="161"/>
      <c r="B35" s="482">
        <f>+B14-B34</f>
        <v>0</v>
      </c>
    </row>
    <row r="36" spans="1:4" ht="24.75" customHeight="1" x14ac:dyDescent="0.25">
      <c r="B36" s="551"/>
    </row>
    <row r="37" spans="1:4" ht="24.75" customHeight="1" x14ac:dyDescent="0.3">
      <c r="A37" s="47"/>
      <c r="B37" s="47"/>
    </row>
    <row r="38" spans="1:4" ht="24.75" customHeight="1" x14ac:dyDescent="0.3">
      <c r="A38" s="585" t="str">
        <f>+A4</f>
        <v>NOTA 12</v>
      </c>
      <c r="B38" s="585"/>
      <c r="D38" s="36"/>
    </row>
    <row r="39" spans="1:4" ht="24.75" customHeight="1" x14ac:dyDescent="0.3">
      <c r="A39" s="585" t="str">
        <f>+A5</f>
        <v>Cédula de detalle de cuentas</v>
      </c>
      <c r="B39" s="585"/>
      <c r="D39" s="36"/>
    </row>
    <row r="40" spans="1:4" ht="24.75" customHeight="1" x14ac:dyDescent="0.3">
      <c r="A40" s="585" t="s">
        <v>578</v>
      </c>
      <c r="B40" s="585"/>
      <c r="D40" s="36"/>
    </row>
    <row r="41" spans="1:4" ht="24.75" customHeight="1" x14ac:dyDescent="0.3">
      <c r="A41" s="595">
        <f>+A7</f>
        <v>45838</v>
      </c>
      <c r="B41" s="595"/>
      <c r="D41" s="36"/>
    </row>
    <row r="42" spans="1:4" ht="24.75" customHeight="1" thickBot="1" x14ac:dyDescent="0.35">
      <c r="A42" s="139"/>
      <c r="B42" s="35"/>
      <c r="D42" s="36"/>
    </row>
    <row r="43" spans="1:4" ht="24.75" customHeight="1" thickBot="1" x14ac:dyDescent="0.35">
      <c r="A43" s="141" t="s">
        <v>241</v>
      </c>
      <c r="B43" s="143" t="s">
        <v>258</v>
      </c>
      <c r="D43" s="36"/>
    </row>
    <row r="44" spans="1:4" ht="24.75" hidden="1" customHeight="1" x14ac:dyDescent="0.25">
      <c r="A44" s="145" t="s">
        <v>533</v>
      </c>
      <c r="B44" s="349"/>
      <c r="D44" s="36"/>
    </row>
    <row r="45" spans="1:4" ht="24.75" hidden="1" customHeight="1" x14ac:dyDescent="0.25">
      <c r="A45" s="145" t="s">
        <v>691</v>
      </c>
      <c r="B45" s="349"/>
      <c r="D45" s="36"/>
    </row>
    <row r="46" spans="1:4" ht="24.75" customHeight="1" x14ac:dyDescent="0.25">
      <c r="A46" s="145"/>
      <c r="B46" s="349"/>
      <c r="D46" s="36"/>
    </row>
    <row r="47" spans="1:4" ht="24.75" customHeight="1" x14ac:dyDescent="0.4">
      <c r="A47" s="145"/>
      <c r="B47" s="350"/>
      <c r="D47" s="36"/>
    </row>
    <row r="48" spans="1:4" ht="24.75" customHeight="1" x14ac:dyDescent="0.45">
      <c r="A48" s="149"/>
      <c r="B48" s="351">
        <f>SUM(B46:B47)</f>
        <v>0</v>
      </c>
      <c r="D48" s="36"/>
    </row>
    <row r="49" spans="1:5" ht="24.75" customHeight="1" thickBot="1" x14ac:dyDescent="0.3">
      <c r="A49" s="161"/>
      <c r="B49" s="482">
        <f>+B15-B48</f>
        <v>0</v>
      </c>
      <c r="D49" s="36"/>
    </row>
    <row r="50" spans="1:5" ht="24.75" customHeight="1" x14ac:dyDescent="0.25">
      <c r="B50" s="551"/>
      <c r="D50" s="36"/>
    </row>
    <row r="51" spans="1:5" ht="24.75" customHeight="1" x14ac:dyDescent="0.3">
      <c r="A51" s="47"/>
      <c r="B51" s="47"/>
      <c r="D51" s="291"/>
      <c r="E51" s="291"/>
    </row>
    <row r="52" spans="1:5" ht="24.75" customHeight="1" x14ac:dyDescent="0.25">
      <c r="D52" s="291"/>
    </row>
    <row r="53" spans="1:5" ht="24.75" customHeight="1" x14ac:dyDescent="0.3">
      <c r="A53" s="47"/>
      <c r="B53" s="47"/>
      <c r="D53" s="291"/>
      <c r="E53" s="291"/>
    </row>
    <row r="54" spans="1:5" ht="24.75" customHeight="1" x14ac:dyDescent="0.3">
      <c r="A54" s="585" t="s">
        <v>573</v>
      </c>
      <c r="B54" s="585"/>
      <c r="D54" s="36"/>
    </row>
    <row r="55" spans="1:5" ht="24.75" customHeight="1" x14ac:dyDescent="0.3">
      <c r="A55" s="585" t="s">
        <v>255</v>
      </c>
      <c r="B55" s="585"/>
      <c r="D55" s="36"/>
    </row>
    <row r="56" spans="1:5" ht="24.75" customHeight="1" x14ac:dyDescent="0.3">
      <c r="A56" s="585" t="s">
        <v>797</v>
      </c>
      <c r="B56" s="585"/>
      <c r="D56" s="36"/>
    </row>
    <row r="57" spans="1:5" ht="24.75" customHeight="1" x14ac:dyDescent="0.3">
      <c r="A57" s="595">
        <f>+A7</f>
        <v>45838</v>
      </c>
      <c r="B57" s="595"/>
    </row>
    <row r="58" spans="1:5" ht="24.75" customHeight="1" thickBot="1" x14ac:dyDescent="0.35">
      <c r="A58" s="139"/>
      <c r="B58" s="35"/>
    </row>
    <row r="59" spans="1:5" ht="24.75" customHeight="1" thickBot="1" x14ac:dyDescent="0.35">
      <c r="A59" s="141" t="s">
        <v>241</v>
      </c>
      <c r="B59" s="143" t="s">
        <v>258</v>
      </c>
    </row>
    <row r="60" spans="1:5" ht="24.75" customHeight="1" x14ac:dyDescent="0.25">
      <c r="A60" s="145"/>
      <c r="B60" s="349"/>
    </row>
    <row r="61" spans="1:5" ht="24.75" customHeight="1" x14ac:dyDescent="0.4">
      <c r="A61" s="145"/>
      <c r="B61" s="350"/>
    </row>
    <row r="62" spans="1:5" ht="24.75" customHeight="1" x14ac:dyDescent="0.45">
      <c r="A62" s="149"/>
      <c r="B62" s="351">
        <f>SUM(B60:B61)</f>
        <v>0</v>
      </c>
      <c r="D62" s="25"/>
    </row>
    <row r="63" spans="1:5" ht="24.75" customHeight="1" thickBot="1" x14ac:dyDescent="0.35">
      <c r="A63" s="161"/>
      <c r="B63" s="552"/>
    </row>
    <row r="64" spans="1:5" ht="24.75" customHeight="1" x14ac:dyDescent="0.25">
      <c r="B64" s="551"/>
    </row>
  </sheetData>
  <mergeCells count="16">
    <mergeCell ref="A57:B57"/>
    <mergeCell ref="A55:B55"/>
    <mergeCell ref="A54:B54"/>
    <mergeCell ref="A56:B56"/>
    <mergeCell ref="A4:B4"/>
    <mergeCell ref="A5:B5"/>
    <mergeCell ref="A6:B6"/>
    <mergeCell ref="A7:B7"/>
    <mergeCell ref="A38:B38"/>
    <mergeCell ref="A39:B39"/>
    <mergeCell ref="A40:B40"/>
    <mergeCell ref="A41:B41"/>
    <mergeCell ref="A24:B24"/>
    <mergeCell ref="A25:B25"/>
    <mergeCell ref="A26:B26"/>
    <mergeCell ref="A27:B27"/>
  </mergeCells>
  <pageMargins left="0.9055118110236221" right="0.70866141732283472" top="0.74803149606299213" bottom="0.74803149606299213" header="0.31496062992125984" footer="0.31496062992125984"/>
  <pageSetup orientation="portrait" r:id="rId1"/>
  <rowBreaks count="1" manualBreakCount="1">
    <brk id="20" max="1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19"/>
  <sheetViews>
    <sheetView topLeftCell="A4" zoomScaleNormal="100" workbookViewId="0">
      <selection activeCell="G32" sqref="G32"/>
    </sheetView>
  </sheetViews>
  <sheetFormatPr baseColWidth="10" defaultColWidth="9.109375" defaultRowHeight="24.75" customHeight="1" x14ac:dyDescent="0.25"/>
  <cols>
    <col min="1" max="1" width="45.6640625" style="4" customWidth="1"/>
    <col min="2" max="2" width="23.44140625" style="4" customWidth="1"/>
    <col min="3" max="3" width="9.109375" style="4"/>
    <col min="4" max="4" width="19" style="4" bestFit="1" customWidth="1"/>
    <col min="5" max="16384" width="9.109375" style="4"/>
  </cols>
  <sheetData>
    <row r="2" spans="1:4" ht="24.75" customHeight="1" x14ac:dyDescent="0.3">
      <c r="A2" s="585"/>
      <c r="B2" s="585"/>
    </row>
    <row r="3" spans="1:4" ht="24.75" customHeight="1" x14ac:dyDescent="0.3">
      <c r="A3" s="585" t="s">
        <v>579</v>
      </c>
      <c r="B3" s="585"/>
    </row>
    <row r="4" spans="1:4" ht="24.75" customHeight="1" x14ac:dyDescent="0.3">
      <c r="A4" s="585" t="s">
        <v>255</v>
      </c>
      <c r="B4" s="585"/>
    </row>
    <row r="5" spans="1:4" ht="24.75" customHeight="1" x14ac:dyDescent="0.3">
      <c r="A5" s="585" t="s">
        <v>580</v>
      </c>
      <c r="B5" s="585"/>
    </row>
    <row r="6" spans="1:4" ht="24.75" customHeight="1" x14ac:dyDescent="0.3">
      <c r="A6" s="595">
        <v>45838</v>
      </c>
      <c r="B6" s="595"/>
    </row>
    <row r="7" spans="1:4" ht="24.75" customHeight="1" thickBot="1" x14ac:dyDescent="0.3"/>
    <row r="8" spans="1:4" ht="24.75" customHeight="1" thickBot="1" x14ac:dyDescent="0.35">
      <c r="A8" s="141" t="s">
        <v>241</v>
      </c>
      <c r="B8" s="143" t="s">
        <v>258</v>
      </c>
      <c r="D8" s="32"/>
    </row>
    <row r="9" spans="1:4" ht="24.75" customHeight="1" x14ac:dyDescent="0.25">
      <c r="A9" s="229" t="s">
        <v>718</v>
      </c>
      <c r="B9" s="554">
        <v>94144294.680000007</v>
      </c>
      <c r="D9" s="555"/>
    </row>
    <row r="10" spans="1:4" ht="24.75" customHeight="1" x14ac:dyDescent="0.4">
      <c r="A10" s="229" t="s">
        <v>844</v>
      </c>
      <c r="B10" s="353">
        <v>100000000</v>
      </c>
      <c r="D10" s="457"/>
    </row>
    <row r="11" spans="1:4" ht="24.75" hidden="1" customHeight="1" x14ac:dyDescent="0.4">
      <c r="A11" s="229" t="s">
        <v>108</v>
      </c>
      <c r="B11" s="353"/>
      <c r="D11" s="457"/>
    </row>
    <row r="12" spans="1:4" ht="24.75" customHeight="1" x14ac:dyDescent="0.45">
      <c r="A12" s="354" t="s">
        <v>481</v>
      </c>
      <c r="B12" s="179">
        <f>SUM(B9:B11)</f>
        <v>194144294.68000001</v>
      </c>
      <c r="D12" s="556"/>
    </row>
    <row r="13" spans="1:4" ht="24.75" customHeight="1" x14ac:dyDescent="0.25">
      <c r="A13" s="218"/>
      <c r="B13" s="218"/>
    </row>
    <row r="15" spans="1:4" ht="24.75" customHeight="1" x14ac:dyDescent="0.25">
      <c r="B15" s="557"/>
      <c r="C15" s="37"/>
    </row>
    <row r="16" spans="1:4" ht="24.75" customHeight="1" x14ac:dyDescent="0.25">
      <c r="B16" s="36"/>
    </row>
    <row r="17" spans="1:2" ht="24.75" customHeight="1" x14ac:dyDescent="0.25">
      <c r="B17" s="36"/>
    </row>
    <row r="19" spans="1:2" ht="24.75" customHeight="1" x14ac:dyDescent="0.3">
      <c r="A19" s="585"/>
      <c r="B19" s="585"/>
    </row>
  </sheetData>
  <mergeCells count="6">
    <mergeCell ref="A19:B19"/>
    <mergeCell ref="A3:B3"/>
    <mergeCell ref="A5:B5"/>
    <mergeCell ref="A6:B6"/>
    <mergeCell ref="A2:B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16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6"/>
  <sheetViews>
    <sheetView zoomScale="140" zoomScaleNormal="140" workbookViewId="0">
      <selection activeCell="G32" sqref="G32"/>
    </sheetView>
  </sheetViews>
  <sheetFormatPr baseColWidth="10" defaultColWidth="11.44140625" defaultRowHeight="15" x14ac:dyDescent="0.25"/>
  <cols>
    <col min="1" max="16384" width="11.44140625" style="4"/>
  </cols>
  <sheetData>
    <row r="1" spans="1:2" x14ac:dyDescent="0.25">
      <c r="B1" s="4" t="s">
        <v>581</v>
      </c>
    </row>
    <row r="3" spans="1:2" x14ac:dyDescent="0.25">
      <c r="A3" s="4">
        <v>1</v>
      </c>
      <c r="B3" s="4" t="s">
        <v>582</v>
      </c>
    </row>
    <row r="4" spans="1:2" x14ac:dyDescent="0.25">
      <c r="A4" s="4">
        <v>2</v>
      </c>
      <c r="B4" s="4" t="s">
        <v>583</v>
      </c>
    </row>
    <row r="5" spans="1:2" x14ac:dyDescent="0.25">
      <c r="A5" s="4">
        <v>3</v>
      </c>
      <c r="B5" s="4" t="s">
        <v>584</v>
      </c>
    </row>
    <row r="6" spans="1:2" x14ac:dyDescent="0.25">
      <c r="A6" s="4">
        <v>4</v>
      </c>
      <c r="B6" s="4" t="s">
        <v>585</v>
      </c>
    </row>
    <row r="7" spans="1:2" x14ac:dyDescent="0.25">
      <c r="A7" s="4">
        <v>5</v>
      </c>
      <c r="B7" s="4" t="s">
        <v>586</v>
      </c>
    </row>
    <row r="8" spans="1:2" x14ac:dyDescent="0.25">
      <c r="A8" s="4">
        <v>6</v>
      </c>
      <c r="B8" s="4" t="s">
        <v>587</v>
      </c>
    </row>
    <row r="9" spans="1:2" x14ac:dyDescent="0.25">
      <c r="A9" s="4">
        <v>7</v>
      </c>
      <c r="B9" s="4" t="s">
        <v>588</v>
      </c>
    </row>
    <row r="10" spans="1:2" x14ac:dyDescent="0.25">
      <c r="A10" s="4">
        <v>8</v>
      </c>
      <c r="B10" s="4" t="s">
        <v>589</v>
      </c>
    </row>
    <row r="11" spans="1:2" x14ac:dyDescent="0.25">
      <c r="A11" s="4">
        <v>9</v>
      </c>
      <c r="B11" s="4" t="s">
        <v>590</v>
      </c>
    </row>
    <row r="12" spans="1:2" x14ac:dyDescent="0.25">
      <c r="A12" s="4">
        <v>10</v>
      </c>
      <c r="B12" s="4" t="s">
        <v>591</v>
      </c>
    </row>
    <row r="13" spans="1:2" x14ac:dyDescent="0.25">
      <c r="A13" s="4">
        <v>11</v>
      </c>
      <c r="B13" s="4" t="s">
        <v>592</v>
      </c>
    </row>
    <row r="14" spans="1:2" x14ac:dyDescent="0.25">
      <c r="A14" s="4">
        <v>12</v>
      </c>
      <c r="B14" s="4" t="s">
        <v>593</v>
      </c>
    </row>
    <row r="16" spans="1:2" x14ac:dyDescent="0.25">
      <c r="B16" s="4" t="s">
        <v>594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B6:K166"/>
  <sheetViews>
    <sheetView view="pageBreakPreview" zoomScale="80" zoomScaleNormal="80" zoomScaleSheetLayoutView="80" workbookViewId="0">
      <selection activeCell="G15" sqref="G15"/>
    </sheetView>
  </sheetViews>
  <sheetFormatPr baseColWidth="10" defaultColWidth="11.5546875" defaultRowHeight="15" x14ac:dyDescent="0.25"/>
  <cols>
    <col min="1" max="1" width="5.109375" style="4" customWidth="1"/>
    <col min="2" max="2" width="35.109375" style="4" customWidth="1"/>
    <col min="3" max="3" width="10.6640625" style="4" customWidth="1"/>
    <col min="4" max="4" width="19.6640625" style="4" bestFit="1" customWidth="1"/>
    <col min="5" max="5" width="20.109375" style="4" bestFit="1" customWidth="1"/>
    <col min="6" max="6" width="28.44140625" style="4" bestFit="1" customWidth="1"/>
    <col min="7" max="7" width="20.109375" style="4" bestFit="1" customWidth="1"/>
    <col min="8" max="8" width="29" style="4" bestFit="1" customWidth="1"/>
    <col min="9" max="9" width="18.109375" style="4" customWidth="1"/>
    <col min="10" max="10" width="11.5546875" style="4"/>
    <col min="11" max="11" width="16.33203125" style="4" bestFit="1" customWidth="1"/>
    <col min="12" max="16384" width="11.5546875" style="4"/>
  </cols>
  <sheetData>
    <row r="6" spans="2:9" s="10" customFormat="1" ht="24.75" customHeight="1" x14ac:dyDescent="0.3">
      <c r="B6" s="7" t="str">
        <f>+'A-SITUACION ANEXOS'!B6</f>
        <v xml:space="preserve">ANEXOS DE ESTADO DE SITUACIÓN </v>
      </c>
      <c r="F6" s="4"/>
      <c r="G6" s="4"/>
      <c r="H6" s="4"/>
    </row>
    <row r="7" spans="2:9" s="10" customFormat="1" ht="24.75" customHeight="1" x14ac:dyDescent="0.3">
      <c r="B7" s="7" t="s">
        <v>835</v>
      </c>
      <c r="F7" s="4"/>
      <c r="G7" s="4"/>
      <c r="H7" s="4"/>
    </row>
    <row r="8" spans="2:9" s="10" customFormat="1" ht="24.75" customHeight="1" x14ac:dyDescent="0.3">
      <c r="B8" s="7" t="str">
        <f>+'A-SITUACION ANEXOS'!B8</f>
        <v>VALORES EXPRESADOS EN RD$</v>
      </c>
      <c r="F8" s="4"/>
      <c r="G8" s="4"/>
      <c r="H8" s="4"/>
    </row>
    <row r="9" spans="2:9" s="10" customFormat="1" ht="24.75" customHeight="1" x14ac:dyDescent="0.3">
      <c r="F9" s="4"/>
      <c r="G9" s="4"/>
      <c r="H9" s="4"/>
    </row>
    <row r="10" spans="2:9" s="10" customFormat="1" ht="24.75" customHeight="1" x14ac:dyDescent="0.3">
      <c r="C10" s="45" t="s">
        <v>239</v>
      </c>
      <c r="D10" s="38">
        <v>14</v>
      </c>
      <c r="F10" s="4"/>
      <c r="G10" s="4"/>
      <c r="H10" s="4"/>
    </row>
    <row r="11" spans="2:9" s="10" customFormat="1" ht="24.75" customHeight="1" x14ac:dyDescent="0.3">
      <c r="E11" s="83"/>
      <c r="F11" s="4"/>
      <c r="G11" s="4"/>
      <c r="H11" s="25"/>
    </row>
    <row r="12" spans="2:9" s="10" customFormat="1" ht="24.75" customHeight="1" x14ac:dyDescent="0.3">
      <c r="B12" s="7" t="s">
        <v>240</v>
      </c>
    </row>
    <row r="13" spans="2:9" s="10" customFormat="1" ht="24.75" customHeight="1" thickBot="1" x14ac:dyDescent="0.35">
      <c r="B13" s="7"/>
    </row>
    <row r="14" spans="2:9" s="10" customFormat="1" ht="24.75" customHeight="1" thickBot="1" x14ac:dyDescent="0.35">
      <c r="D14" s="123" t="s">
        <v>241</v>
      </c>
      <c r="E14" s="590" t="s">
        <v>881</v>
      </c>
      <c r="F14" s="591"/>
      <c r="G14" s="590" t="s">
        <v>829</v>
      </c>
      <c r="H14" s="591"/>
    </row>
    <row r="15" spans="2:9" ht="24.75" customHeight="1" x14ac:dyDescent="0.3">
      <c r="D15" s="124" t="s">
        <v>242</v>
      </c>
      <c r="E15" s="125" t="s">
        <v>243</v>
      </c>
      <c r="F15" s="126" t="s">
        <v>244</v>
      </c>
      <c r="G15" s="72" t="s">
        <v>243</v>
      </c>
      <c r="H15" s="126" t="s">
        <v>244</v>
      </c>
    </row>
    <row r="16" spans="2:9" ht="24.75" customHeight="1" x14ac:dyDescent="0.3">
      <c r="B16" s="127" t="s">
        <v>245</v>
      </c>
      <c r="D16" s="124" t="s">
        <v>246</v>
      </c>
      <c r="E16" s="124" t="s">
        <v>247</v>
      </c>
      <c r="F16" s="126" t="s">
        <v>248</v>
      </c>
      <c r="G16" s="35" t="s">
        <v>247</v>
      </c>
      <c r="H16" s="126" t="s">
        <v>248</v>
      </c>
      <c r="I16" s="73"/>
    </row>
    <row r="17" spans="2:11" ht="24.75" customHeight="1" x14ac:dyDescent="0.25">
      <c r="D17" s="128"/>
      <c r="E17" s="128"/>
      <c r="F17" s="129"/>
      <c r="H17" s="129"/>
    </row>
    <row r="18" spans="2:11" ht="24.75" customHeight="1" x14ac:dyDescent="0.25">
      <c r="B18" s="4" t="s">
        <v>108</v>
      </c>
      <c r="D18" s="130">
        <v>99.500102455000004</v>
      </c>
      <c r="E18" s="131">
        <f>F18/100</f>
        <v>6953497</v>
      </c>
      <c r="F18" s="129">
        <v>695349700</v>
      </c>
      <c r="G18" s="75">
        <v>6953497</v>
      </c>
      <c r="H18" s="129">
        <v>695349700</v>
      </c>
    </row>
    <row r="19" spans="2:11" ht="24.75" customHeight="1" x14ac:dyDescent="0.25">
      <c r="B19" s="4" t="s">
        <v>249</v>
      </c>
      <c r="D19" s="130">
        <v>49.9739570395</v>
      </c>
      <c r="E19" s="131">
        <f>F19/100</f>
        <v>28163101</v>
      </c>
      <c r="F19" s="129">
        <v>2816310100</v>
      </c>
      <c r="G19" s="75">
        <v>28163101</v>
      </c>
      <c r="H19" s="129">
        <v>2816310100</v>
      </c>
    </row>
    <row r="20" spans="2:11" ht="24.75" customHeight="1" x14ac:dyDescent="0.25">
      <c r="B20" s="4" t="s">
        <v>250</v>
      </c>
      <c r="D20" s="130">
        <v>49.590354330700002</v>
      </c>
      <c r="E20" s="131">
        <f>F20/100</f>
        <v>2519190</v>
      </c>
      <c r="F20" s="129">
        <f>251919000+0</f>
        <v>251919000</v>
      </c>
      <c r="G20" s="75">
        <v>2519190</v>
      </c>
      <c r="H20" s="129">
        <v>251919000</v>
      </c>
    </row>
    <row r="21" spans="2:11" ht="24.75" customHeight="1" x14ac:dyDescent="0.25">
      <c r="B21" s="4" t="s">
        <v>251</v>
      </c>
      <c r="D21" s="130">
        <v>49.993471306399996</v>
      </c>
      <c r="E21" s="131">
        <f>2297250000/100</f>
        <v>22972500</v>
      </c>
      <c r="F21" s="129">
        <v>2297250000</v>
      </c>
      <c r="G21" s="75">
        <v>22972500</v>
      </c>
      <c r="H21" s="129">
        <v>2297250000</v>
      </c>
    </row>
    <row r="22" spans="2:11" ht="24.75" customHeight="1" x14ac:dyDescent="0.25">
      <c r="B22" s="4" t="s">
        <v>109</v>
      </c>
      <c r="D22" s="130">
        <v>99.979305835000005</v>
      </c>
      <c r="E22" s="131">
        <f>F22/100</f>
        <v>32403395</v>
      </c>
      <c r="F22" s="129">
        <v>3240339500</v>
      </c>
      <c r="G22" s="75">
        <v>32403395</v>
      </c>
      <c r="H22" s="129">
        <v>3240339500</v>
      </c>
    </row>
    <row r="23" spans="2:11" ht="24.75" customHeight="1" x14ac:dyDescent="0.25">
      <c r="B23" s="4" t="s">
        <v>252</v>
      </c>
      <c r="D23" s="130">
        <v>99.960759730299998</v>
      </c>
      <c r="E23" s="131">
        <f>F23/100</f>
        <v>34750978</v>
      </c>
      <c r="F23" s="129">
        <v>3475097800</v>
      </c>
      <c r="G23" s="75">
        <v>34750978</v>
      </c>
      <c r="H23" s="129">
        <v>3475097800</v>
      </c>
    </row>
    <row r="24" spans="2:11" ht="24.75" customHeight="1" x14ac:dyDescent="0.25">
      <c r="B24" s="4" t="s">
        <v>110</v>
      </c>
      <c r="D24" s="130">
        <v>99.9381695318</v>
      </c>
      <c r="E24" s="131">
        <f>F24/100</f>
        <v>34628160</v>
      </c>
      <c r="F24" s="129">
        <v>3462816000</v>
      </c>
      <c r="G24" s="75">
        <v>34628160</v>
      </c>
      <c r="H24" s="129">
        <v>3462816000</v>
      </c>
      <c r="K24" s="36"/>
    </row>
    <row r="25" spans="2:11" ht="44.25" customHeight="1" x14ac:dyDescent="0.25">
      <c r="B25" s="119" t="s">
        <v>733</v>
      </c>
      <c r="D25" s="130">
        <v>0.1</v>
      </c>
      <c r="E25" s="131">
        <v>1</v>
      </c>
      <c r="F25" s="129">
        <v>134998789</v>
      </c>
      <c r="G25" s="75">
        <v>0</v>
      </c>
      <c r="H25" s="129">
        <v>134998789</v>
      </c>
      <c r="K25" s="36"/>
    </row>
    <row r="26" spans="2:11" ht="46.5" customHeight="1" x14ac:dyDescent="0.25">
      <c r="B26" s="132" t="s">
        <v>734</v>
      </c>
      <c r="D26" s="130">
        <v>0.1</v>
      </c>
      <c r="E26" s="131">
        <v>1</v>
      </c>
      <c r="F26" s="129">
        <v>30000</v>
      </c>
      <c r="G26" s="75">
        <v>0</v>
      </c>
      <c r="H26" s="129">
        <v>30000</v>
      </c>
      <c r="K26" s="36"/>
    </row>
    <row r="27" spans="2:11" ht="42" customHeight="1" thickBot="1" x14ac:dyDescent="0.5">
      <c r="B27" s="88" t="s">
        <v>253</v>
      </c>
      <c r="D27" s="133"/>
      <c r="E27" s="133"/>
      <c r="F27" s="134">
        <f>SUM(F18:F26)</f>
        <v>16374110889</v>
      </c>
      <c r="G27" s="135"/>
      <c r="H27" s="134">
        <f>SUM(H18:H26)</f>
        <v>16374110889</v>
      </c>
    </row>
    <row r="28" spans="2:11" ht="24.75" customHeight="1" x14ac:dyDescent="0.25"/>
    <row r="29" spans="2:11" ht="24.75" customHeight="1" x14ac:dyDescent="0.25">
      <c r="F29" s="25"/>
    </row>
    <row r="31" spans="2:11" x14ac:dyDescent="0.25">
      <c r="F31" s="25"/>
    </row>
    <row r="159" spans="9:9" x14ac:dyDescent="0.25">
      <c r="I159" s="136"/>
    </row>
    <row r="160" spans="9:9" x14ac:dyDescent="0.25">
      <c r="I160" s="136"/>
    </row>
    <row r="161" spans="9:9" x14ac:dyDescent="0.25">
      <c r="I161" s="136"/>
    </row>
    <row r="162" spans="9:9" x14ac:dyDescent="0.25">
      <c r="I162" s="136"/>
    </row>
    <row r="163" spans="9:9" x14ac:dyDescent="0.25">
      <c r="I163" s="136"/>
    </row>
    <row r="164" spans="9:9" x14ac:dyDescent="0.25">
      <c r="I164" s="136"/>
    </row>
    <row r="165" spans="9:9" x14ac:dyDescent="0.25">
      <c r="I165" s="136"/>
    </row>
    <row r="166" spans="9:9" x14ac:dyDescent="0.25">
      <c r="I166" s="136"/>
    </row>
  </sheetData>
  <mergeCells count="2">
    <mergeCell ref="E14:F14"/>
    <mergeCell ref="G14:H14"/>
  </mergeCells>
  <pageMargins left="0.70866141732283472" right="0.70866141732283472" top="0.74803149606299213" bottom="0.74803149606299213" header="0.31496062992125984" footer="0.31496062992125984"/>
  <pageSetup scale="54" firstPageNumber="3" fitToHeight="10" orientation="portrait" useFirstPageNumber="1" r:id="rId1"/>
  <ignoredErrors>
    <ignoredError sqref="E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B2:N200"/>
  <sheetViews>
    <sheetView view="pageBreakPreview" topLeftCell="A96" zoomScale="80" zoomScaleNormal="100" zoomScaleSheetLayoutView="80" workbookViewId="0">
      <selection activeCell="E99" sqref="E99"/>
    </sheetView>
  </sheetViews>
  <sheetFormatPr baseColWidth="10" defaultColWidth="11.5546875" defaultRowHeight="15" x14ac:dyDescent="0.25"/>
  <cols>
    <col min="1" max="1" width="4.5546875" style="4" customWidth="1"/>
    <col min="2" max="2" width="74.109375" style="4" customWidth="1"/>
    <col min="3" max="3" width="14.33203125" style="5" customWidth="1"/>
    <col min="4" max="5" width="23.44140625" style="6" bestFit="1" customWidth="1"/>
    <col min="6" max="6" width="25.88671875" style="6" customWidth="1"/>
    <col min="7" max="7" width="2.5546875" style="4" customWidth="1"/>
    <col min="8" max="8" width="28.44140625" style="4" customWidth="1"/>
    <col min="9" max="9" width="15.88671875" style="4" bestFit="1" customWidth="1"/>
    <col min="10" max="10" width="11.5546875" style="4"/>
    <col min="11" max="11" width="13.5546875" style="4" customWidth="1"/>
    <col min="12" max="12" width="12.88671875" style="4" bestFit="1" customWidth="1"/>
    <col min="13" max="13" width="11.5546875" style="4"/>
    <col min="14" max="14" width="13.5546875" style="4" customWidth="1"/>
    <col min="15" max="16384" width="11.5546875" style="4"/>
  </cols>
  <sheetData>
    <row r="2" spans="2:6" ht="27" customHeight="1" x14ac:dyDescent="0.25"/>
    <row r="4" spans="2:6" s="10" customFormat="1" ht="24.75" customHeight="1" x14ac:dyDescent="0.3">
      <c r="B4" s="7" t="s">
        <v>144</v>
      </c>
      <c r="C4" s="8"/>
      <c r="D4" s="9"/>
      <c r="E4" s="9"/>
      <c r="F4" s="9"/>
    </row>
    <row r="5" spans="2:6" s="10" customFormat="1" ht="24.75" customHeight="1" x14ac:dyDescent="0.3">
      <c r="B5" s="7" t="s">
        <v>836</v>
      </c>
      <c r="C5" s="8"/>
      <c r="D5" s="9"/>
      <c r="E5" s="9"/>
      <c r="F5" s="9"/>
    </row>
    <row r="6" spans="2:6" s="10" customFormat="1" ht="24.75" customHeight="1" x14ac:dyDescent="0.3">
      <c r="B6" s="7" t="s">
        <v>64</v>
      </c>
      <c r="C6" s="8"/>
      <c r="D6" s="9"/>
      <c r="E6" s="9"/>
      <c r="F6" s="9"/>
    </row>
    <row r="7" spans="2:6" s="10" customFormat="1" ht="17.399999999999999" x14ac:dyDescent="0.3">
      <c r="C7" s="8"/>
      <c r="D7" s="9"/>
      <c r="E7" s="9"/>
      <c r="F7" s="9"/>
    </row>
    <row r="8" spans="2:6" s="10" customFormat="1" ht="37.5" customHeight="1" x14ac:dyDescent="0.3">
      <c r="C8" s="11" t="s">
        <v>4</v>
      </c>
      <c r="D8" s="11" t="s">
        <v>145</v>
      </c>
      <c r="E8" s="11" t="s">
        <v>146</v>
      </c>
      <c r="F8" s="11" t="s">
        <v>7</v>
      </c>
    </row>
    <row r="9" spans="2:6" ht="15.6" x14ac:dyDescent="0.3">
      <c r="C9" s="12"/>
      <c r="D9" s="13"/>
      <c r="E9" s="13"/>
      <c r="F9" s="13"/>
    </row>
    <row r="10" spans="2:6" ht="20.100000000000001" customHeight="1" x14ac:dyDescent="0.3">
      <c r="C10" s="12" t="s">
        <v>73</v>
      </c>
      <c r="D10" s="13"/>
      <c r="E10" s="13"/>
      <c r="F10" s="13"/>
    </row>
    <row r="11" spans="2:6" s="18" customFormat="1" ht="24.75" customHeight="1" x14ac:dyDescent="0.25">
      <c r="B11" s="14" t="s">
        <v>147</v>
      </c>
      <c r="C11" s="15">
        <v>15</v>
      </c>
      <c r="D11" s="16"/>
      <c r="E11" s="17"/>
      <c r="F11" s="17"/>
    </row>
    <row r="12" spans="2:6" ht="20.100000000000001" customHeight="1" x14ac:dyDescent="0.3">
      <c r="B12" s="4" t="s">
        <v>148</v>
      </c>
      <c r="C12" s="12"/>
      <c r="D12" s="6">
        <v>0</v>
      </c>
      <c r="E12" s="13">
        <v>0</v>
      </c>
      <c r="F12" s="13">
        <f>D12-E12</f>
        <v>0</v>
      </c>
    </row>
    <row r="13" spans="2:6" ht="20.100000000000001" customHeight="1" x14ac:dyDescent="0.3">
      <c r="B13" s="19" t="s">
        <v>149</v>
      </c>
      <c r="C13" s="12"/>
      <c r="D13" s="6">
        <v>0</v>
      </c>
      <c r="E13" s="13">
        <v>0</v>
      </c>
      <c r="F13" s="13">
        <f>D13-E13</f>
        <v>0</v>
      </c>
    </row>
    <row r="14" spans="2:6" ht="20.100000000000001" customHeight="1" x14ac:dyDescent="0.3">
      <c r="B14" s="19" t="s">
        <v>150</v>
      </c>
      <c r="C14" s="12"/>
      <c r="D14" s="6">
        <v>0</v>
      </c>
      <c r="E14" s="13">
        <v>0</v>
      </c>
      <c r="F14" s="13">
        <f>D14-E14</f>
        <v>0</v>
      </c>
    </row>
    <row r="15" spans="2:6" ht="20.100000000000001" customHeight="1" x14ac:dyDescent="0.3">
      <c r="B15" s="19" t="s">
        <v>731</v>
      </c>
      <c r="C15" s="12"/>
      <c r="D15" s="6">
        <v>1709914.86</v>
      </c>
      <c r="E15" s="13">
        <v>1709914.86</v>
      </c>
      <c r="F15" s="13">
        <f>D15-E15</f>
        <v>0</v>
      </c>
    </row>
    <row r="16" spans="2:6" ht="15.75" customHeight="1" x14ac:dyDescent="0.25">
      <c r="C16" s="20" t="s">
        <v>891</v>
      </c>
      <c r="E16" s="13"/>
      <c r="F16" s="13"/>
    </row>
    <row r="17" spans="2:8" s="18" customFormat="1" ht="41.25" customHeight="1" x14ac:dyDescent="0.25">
      <c r="B17" s="21" t="s">
        <v>151</v>
      </c>
      <c r="C17" s="15"/>
      <c r="D17" s="22">
        <f>SUM(D12:D16)</f>
        <v>1709914.86</v>
      </c>
      <c r="E17" s="22">
        <f>SUM(E12:E16)</f>
        <v>1709914.86</v>
      </c>
      <c r="F17" s="23">
        <f>SUM(F12:F16)</f>
        <v>0</v>
      </c>
    </row>
    <row r="18" spans="2:8" ht="20.100000000000001" customHeight="1" x14ac:dyDescent="0.3">
      <c r="C18" s="12" t="s">
        <v>73</v>
      </c>
      <c r="E18" s="13"/>
      <c r="F18" s="13"/>
    </row>
    <row r="19" spans="2:8" ht="20.100000000000001" customHeight="1" x14ac:dyDescent="0.3">
      <c r="C19" s="12" t="s">
        <v>73</v>
      </c>
      <c r="D19" s="24"/>
      <c r="E19" s="13"/>
      <c r="F19" s="13"/>
    </row>
    <row r="20" spans="2:8" s="18" customFormat="1" ht="24.75" customHeight="1" x14ac:dyDescent="0.25">
      <c r="B20" s="14" t="s">
        <v>152</v>
      </c>
      <c r="C20" s="15">
        <v>16</v>
      </c>
      <c r="D20" s="16"/>
      <c r="E20" s="17"/>
      <c r="F20" s="17"/>
    </row>
    <row r="21" spans="2:8" ht="20.100000000000001" customHeight="1" x14ac:dyDescent="0.3">
      <c r="B21" s="4" t="s">
        <v>153</v>
      </c>
      <c r="C21" s="12"/>
      <c r="D21" s="6">
        <v>75668636.790000007</v>
      </c>
      <c r="E21" s="6">
        <v>64908843.149999999</v>
      </c>
      <c r="F21" s="13">
        <f>D21-E21</f>
        <v>10759793.640000008</v>
      </c>
      <c r="H21" s="25"/>
    </row>
    <row r="22" spans="2:8" ht="20.100000000000001" customHeight="1" x14ac:dyDescent="0.25">
      <c r="C22" s="20" t="s">
        <v>891</v>
      </c>
      <c r="E22" s="13"/>
      <c r="F22" s="13"/>
    </row>
    <row r="23" spans="2:8" s="14" customFormat="1" ht="24.75" customHeight="1" x14ac:dyDescent="0.25">
      <c r="B23" s="14" t="s">
        <v>154</v>
      </c>
      <c r="C23" s="15"/>
      <c r="D23" s="22">
        <f>SUM(D21:D21)</f>
        <v>75668636.790000007</v>
      </c>
      <c r="E23" s="22">
        <f>SUM(E21:E21)</f>
        <v>64908843.149999999</v>
      </c>
      <c r="F23" s="23">
        <f>SUM(F21:F21)</f>
        <v>10759793.640000008</v>
      </c>
    </row>
    <row r="24" spans="2:8" ht="20.100000000000001" customHeight="1" x14ac:dyDescent="0.3">
      <c r="C24" s="12" t="s">
        <v>73</v>
      </c>
      <c r="E24" s="13"/>
      <c r="F24" s="13"/>
    </row>
    <row r="25" spans="2:8" ht="20.100000000000001" customHeight="1" x14ac:dyDescent="0.3">
      <c r="C25" s="12" t="s">
        <v>73</v>
      </c>
      <c r="E25" s="13"/>
      <c r="F25" s="13"/>
    </row>
    <row r="26" spans="2:8" s="18" customFormat="1" ht="24.75" customHeight="1" x14ac:dyDescent="0.25">
      <c r="B26" s="14" t="s">
        <v>155</v>
      </c>
      <c r="C26" s="15">
        <v>17</v>
      </c>
      <c r="D26" s="16"/>
      <c r="E26" s="17"/>
      <c r="F26" s="17"/>
    </row>
    <row r="27" spans="2:8" ht="20.100000000000001" customHeight="1" x14ac:dyDescent="0.3">
      <c r="B27" s="4" t="s">
        <v>156</v>
      </c>
      <c r="C27" s="12" t="s">
        <v>73</v>
      </c>
      <c r="D27" s="6">
        <v>1348533.58</v>
      </c>
      <c r="E27" s="6">
        <v>1118801.23</v>
      </c>
      <c r="F27" s="13">
        <f>D27-E27</f>
        <v>229732.35000000009</v>
      </c>
    </row>
    <row r="28" spans="2:8" ht="20.100000000000001" customHeight="1" x14ac:dyDescent="0.25">
      <c r="C28" s="20" t="s">
        <v>891</v>
      </c>
      <c r="E28" s="13"/>
      <c r="F28" s="13"/>
    </row>
    <row r="29" spans="2:8" s="14" customFormat="1" ht="24.75" customHeight="1" x14ac:dyDescent="0.25">
      <c r="B29" s="14" t="s">
        <v>157</v>
      </c>
      <c r="C29" s="15"/>
      <c r="D29" s="22">
        <f>SUM(D27:D27)</f>
        <v>1348533.58</v>
      </c>
      <c r="E29" s="23">
        <f>SUM(E27:E27)</f>
        <v>1118801.23</v>
      </c>
      <c r="F29" s="23">
        <f>SUM(F27:F27)</f>
        <v>229732.35000000009</v>
      </c>
    </row>
    <row r="30" spans="2:8" ht="20.100000000000001" customHeight="1" x14ac:dyDescent="0.3">
      <c r="C30" s="12" t="s">
        <v>73</v>
      </c>
      <c r="E30" s="13"/>
      <c r="F30" s="13"/>
    </row>
    <row r="31" spans="2:8" ht="20.100000000000001" customHeight="1" x14ac:dyDescent="0.3">
      <c r="C31" s="12" t="s">
        <v>73</v>
      </c>
      <c r="E31" s="13"/>
      <c r="F31" s="13"/>
    </row>
    <row r="32" spans="2:8" s="18" customFormat="1" ht="24.75" customHeight="1" x14ac:dyDescent="0.25">
      <c r="B32" s="14" t="s">
        <v>158</v>
      </c>
      <c r="C32" s="15">
        <v>18</v>
      </c>
      <c r="D32" s="16"/>
      <c r="E32" s="17"/>
      <c r="F32" s="17"/>
    </row>
    <row r="33" spans="2:6" ht="20.100000000000001" customHeight="1" x14ac:dyDescent="0.3">
      <c r="B33" s="4" t="s">
        <v>159</v>
      </c>
      <c r="C33" s="12" t="s">
        <v>73</v>
      </c>
      <c r="D33" s="36">
        <v>50383266.420000002</v>
      </c>
      <c r="E33" s="36">
        <v>41923496.420000002</v>
      </c>
      <c r="F33" s="323">
        <f t="shared" ref="F33:F49" si="0">D33-E33</f>
        <v>8459770</v>
      </c>
    </row>
    <row r="34" spans="2:6" ht="20.100000000000001" customHeight="1" x14ac:dyDescent="0.3">
      <c r="B34" s="4" t="s">
        <v>160</v>
      </c>
      <c r="C34" s="12" t="s">
        <v>73</v>
      </c>
      <c r="D34" s="36">
        <v>2951485</v>
      </c>
      <c r="E34" s="36">
        <v>2475445</v>
      </c>
      <c r="F34" s="323">
        <f t="shared" si="0"/>
        <v>476040</v>
      </c>
    </row>
    <row r="35" spans="2:6" ht="20.100000000000001" customHeight="1" x14ac:dyDescent="0.3">
      <c r="B35" s="4" t="s">
        <v>161</v>
      </c>
      <c r="C35" s="12"/>
      <c r="D35" s="36">
        <v>211514.19</v>
      </c>
      <c r="E35" s="36">
        <v>157283.20000000001</v>
      </c>
      <c r="F35" s="323">
        <f t="shared" si="0"/>
        <v>54230.989999999991</v>
      </c>
    </row>
    <row r="36" spans="2:6" ht="20.100000000000001" customHeight="1" x14ac:dyDescent="0.3">
      <c r="B36" s="4" t="s">
        <v>896</v>
      </c>
      <c r="C36" s="12"/>
      <c r="D36" s="36">
        <v>4186666.66</v>
      </c>
      <c r="E36" s="36">
        <v>3486666.66</v>
      </c>
      <c r="F36" s="323">
        <f t="shared" si="0"/>
        <v>700000</v>
      </c>
    </row>
    <row r="37" spans="2:6" ht="20.100000000000001" customHeight="1" x14ac:dyDescent="0.3">
      <c r="B37" s="4" t="s">
        <v>162</v>
      </c>
      <c r="C37" s="12" t="s">
        <v>73</v>
      </c>
      <c r="D37" s="36">
        <v>2954760</v>
      </c>
      <c r="E37" s="36">
        <v>2457900</v>
      </c>
      <c r="F37" s="323">
        <f t="shared" si="0"/>
        <v>496860</v>
      </c>
    </row>
    <row r="38" spans="2:6" ht="20.100000000000001" customHeight="1" x14ac:dyDescent="0.3">
      <c r="B38" s="4" t="s">
        <v>163</v>
      </c>
      <c r="C38" s="12"/>
      <c r="D38" s="36">
        <v>5220000</v>
      </c>
      <c r="E38" s="36">
        <v>4350000</v>
      </c>
      <c r="F38" s="323">
        <f t="shared" si="0"/>
        <v>870000</v>
      </c>
    </row>
    <row r="39" spans="2:6" ht="20.100000000000001" customHeight="1" x14ac:dyDescent="0.3">
      <c r="B39" s="4" t="s">
        <v>164</v>
      </c>
      <c r="C39" s="12"/>
      <c r="D39" s="36">
        <v>339157</v>
      </c>
      <c r="E39" s="36">
        <v>339157</v>
      </c>
      <c r="F39" s="323">
        <f t="shared" si="0"/>
        <v>0</v>
      </c>
    </row>
    <row r="40" spans="2:6" ht="20.100000000000001" customHeight="1" x14ac:dyDescent="0.3">
      <c r="B40" s="4" t="s">
        <v>165</v>
      </c>
      <c r="C40" s="12"/>
      <c r="D40" s="36">
        <v>67260</v>
      </c>
      <c r="E40" s="36">
        <v>67260</v>
      </c>
      <c r="F40" s="323">
        <f t="shared" si="0"/>
        <v>0</v>
      </c>
    </row>
    <row r="41" spans="2:6" ht="20.100000000000001" customHeight="1" x14ac:dyDescent="0.3">
      <c r="B41" s="4" t="s">
        <v>166</v>
      </c>
      <c r="C41" s="12"/>
      <c r="D41" s="36">
        <v>130000</v>
      </c>
      <c r="E41" s="36">
        <v>130000</v>
      </c>
      <c r="F41" s="323">
        <f t="shared" si="0"/>
        <v>0</v>
      </c>
    </row>
    <row r="42" spans="2:6" ht="20.100000000000001" customHeight="1" x14ac:dyDescent="0.3">
      <c r="B42" s="4" t="s">
        <v>167</v>
      </c>
      <c r="C42" s="12"/>
      <c r="D42" s="36">
        <f>348465.15-50976</f>
        <v>297489.15000000002</v>
      </c>
      <c r="E42" s="36">
        <v>297489.15000000002</v>
      </c>
      <c r="F42" s="323">
        <f t="shared" si="0"/>
        <v>0</v>
      </c>
    </row>
    <row r="43" spans="2:6" ht="20.100000000000001" customHeight="1" x14ac:dyDescent="0.3">
      <c r="B43" s="4" t="s">
        <v>168</v>
      </c>
      <c r="C43" s="12" t="s">
        <v>73</v>
      </c>
      <c r="D43" s="36">
        <v>4873690.0199999996</v>
      </c>
      <c r="E43" s="36">
        <v>4061408.35</v>
      </c>
      <c r="F43" s="323">
        <f t="shared" si="0"/>
        <v>812281.66999999946</v>
      </c>
    </row>
    <row r="44" spans="2:6" ht="20.100000000000001" customHeight="1" x14ac:dyDescent="0.3">
      <c r="B44" s="4" t="s">
        <v>169</v>
      </c>
      <c r="C44" s="12" t="s">
        <v>73</v>
      </c>
      <c r="D44" s="36">
        <v>25010869.989999998</v>
      </c>
      <c r="E44" s="36">
        <v>20842391.66</v>
      </c>
      <c r="F44" s="323">
        <f t="shared" si="0"/>
        <v>4168478.3299999982</v>
      </c>
    </row>
    <row r="45" spans="2:6" ht="20.100000000000001" customHeight="1" x14ac:dyDescent="0.3">
      <c r="B45" s="4" t="s">
        <v>170</v>
      </c>
      <c r="C45" s="12" t="s">
        <v>73</v>
      </c>
      <c r="D45" s="36">
        <v>920000</v>
      </c>
      <c r="E45" s="36">
        <v>920000</v>
      </c>
      <c r="F45" s="323">
        <f t="shared" si="0"/>
        <v>0</v>
      </c>
    </row>
    <row r="46" spans="2:6" ht="20.100000000000001" customHeight="1" x14ac:dyDescent="0.3">
      <c r="B46" s="4" t="s">
        <v>171</v>
      </c>
      <c r="C46" s="12" t="s">
        <v>73</v>
      </c>
      <c r="D46" s="36">
        <v>3664072.04</v>
      </c>
      <c r="E46" s="36">
        <v>3243793.76</v>
      </c>
      <c r="F46" s="323">
        <f t="shared" si="0"/>
        <v>420278.28000000026</v>
      </c>
    </row>
    <row r="47" spans="2:6" ht="20.100000000000001" customHeight="1" x14ac:dyDescent="0.3">
      <c r="B47" s="4" t="s">
        <v>834</v>
      </c>
      <c r="C47" s="12"/>
      <c r="D47" s="36">
        <v>10000</v>
      </c>
      <c r="E47" s="36">
        <v>10000</v>
      </c>
      <c r="F47" s="323">
        <f t="shared" si="0"/>
        <v>0</v>
      </c>
    </row>
    <row r="48" spans="2:6" ht="20.100000000000001" customHeight="1" x14ac:dyDescent="0.3">
      <c r="B48" s="4" t="s">
        <v>172</v>
      </c>
      <c r="C48" s="12" t="s">
        <v>73</v>
      </c>
      <c r="D48" s="36">
        <v>1913051.86</v>
      </c>
      <c r="E48" s="36">
        <v>1591580.6</v>
      </c>
      <c r="F48" s="323">
        <f t="shared" si="0"/>
        <v>321471.26</v>
      </c>
    </row>
    <row r="49" spans="2:6" ht="20.100000000000001" customHeight="1" x14ac:dyDescent="0.3">
      <c r="B49" s="4" t="s">
        <v>173</v>
      </c>
      <c r="C49" s="12" t="s">
        <v>73</v>
      </c>
      <c r="D49" s="36">
        <v>6904931.7999999998</v>
      </c>
      <c r="E49" s="36">
        <v>5731780.7199999997</v>
      </c>
      <c r="F49" s="323">
        <f t="shared" si="0"/>
        <v>1173151.08</v>
      </c>
    </row>
    <row r="50" spans="2:6" ht="20.100000000000001" customHeight="1" x14ac:dyDescent="0.25">
      <c r="C50" s="20" t="s">
        <v>891</v>
      </c>
      <c r="E50" s="13"/>
      <c r="F50" s="13"/>
    </row>
    <row r="51" spans="2:6" s="14" customFormat="1" ht="24.75" customHeight="1" x14ac:dyDescent="0.25">
      <c r="B51" s="14" t="s">
        <v>174</v>
      </c>
      <c r="C51" s="15"/>
      <c r="D51" s="22">
        <f>SUM(D33:D49)</f>
        <v>110038214.13</v>
      </c>
      <c r="E51" s="22">
        <f>SUM(E33:E49)</f>
        <v>92085652.519999996</v>
      </c>
      <c r="F51" s="22">
        <f>SUM(F33:F49)</f>
        <v>17952561.609999999</v>
      </c>
    </row>
    <row r="52" spans="2:6" ht="20.100000000000001" customHeight="1" x14ac:dyDescent="0.3">
      <c r="C52" s="12" t="s">
        <v>73</v>
      </c>
      <c r="E52" s="13"/>
      <c r="F52" s="13"/>
    </row>
    <row r="53" spans="2:6" ht="20.100000000000001" customHeight="1" x14ac:dyDescent="0.3">
      <c r="C53" s="12" t="s">
        <v>73</v>
      </c>
      <c r="E53" s="13"/>
      <c r="F53" s="13"/>
    </row>
    <row r="54" spans="2:6" s="18" customFormat="1" ht="24.75" customHeight="1" x14ac:dyDescent="0.25">
      <c r="B54" s="14" t="s">
        <v>175</v>
      </c>
      <c r="C54" s="15">
        <v>19</v>
      </c>
      <c r="D54" s="16"/>
      <c r="E54" s="17"/>
      <c r="F54" s="17"/>
    </row>
    <row r="55" spans="2:6" ht="20.100000000000001" customHeight="1" x14ac:dyDescent="0.3">
      <c r="B55" s="4" t="s">
        <v>176</v>
      </c>
      <c r="C55" s="12" t="s">
        <v>73</v>
      </c>
      <c r="D55" s="6">
        <v>1197512.81</v>
      </c>
      <c r="E55" s="6">
        <v>1045847.28</v>
      </c>
      <c r="F55" s="13">
        <f>D55-E55</f>
        <v>151665.53000000003</v>
      </c>
    </row>
    <row r="56" spans="2:6" ht="20.100000000000001" customHeight="1" x14ac:dyDescent="0.3">
      <c r="B56" s="4" t="s">
        <v>177</v>
      </c>
      <c r="C56" s="12" t="s">
        <v>73</v>
      </c>
      <c r="D56" s="6">
        <v>1051515.96</v>
      </c>
      <c r="E56" s="6">
        <v>876263.3</v>
      </c>
      <c r="F56" s="13">
        <f t="shared" ref="F56:F87" si="1">D56-E56</f>
        <v>175252.65999999992</v>
      </c>
    </row>
    <row r="57" spans="2:6" ht="20.100000000000001" customHeight="1" x14ac:dyDescent="0.3">
      <c r="B57" s="4" t="s">
        <v>178</v>
      </c>
      <c r="C57" s="12" t="s">
        <v>73</v>
      </c>
      <c r="D57" s="6">
        <v>2673586.7999999998</v>
      </c>
      <c r="E57" s="6">
        <v>2174749.58</v>
      </c>
      <c r="F57" s="13">
        <f t="shared" si="1"/>
        <v>498837.21999999974</v>
      </c>
    </row>
    <row r="58" spans="2:6" ht="20.100000000000001" customHeight="1" x14ac:dyDescent="0.3">
      <c r="B58" s="4" t="s">
        <v>179</v>
      </c>
      <c r="C58" s="12" t="s">
        <v>73</v>
      </c>
      <c r="D58" s="6">
        <v>143474.10999999999</v>
      </c>
      <c r="E58" s="6">
        <v>121599.11</v>
      </c>
      <c r="F58" s="13">
        <f t="shared" si="1"/>
        <v>21874.999999999985</v>
      </c>
    </row>
    <row r="59" spans="2:6" ht="20.100000000000001" customHeight="1" x14ac:dyDescent="0.3">
      <c r="B59" s="4" t="s">
        <v>180</v>
      </c>
      <c r="C59" s="12" t="s">
        <v>73</v>
      </c>
      <c r="D59" s="6">
        <v>472036.8</v>
      </c>
      <c r="E59" s="6">
        <v>332481.64</v>
      </c>
      <c r="F59" s="13">
        <f t="shared" si="1"/>
        <v>139555.15999999997</v>
      </c>
    </row>
    <row r="60" spans="2:6" ht="20.100000000000001" customHeight="1" x14ac:dyDescent="0.3">
      <c r="B60" s="4" t="s">
        <v>181</v>
      </c>
      <c r="C60" s="12" t="s">
        <v>73</v>
      </c>
      <c r="D60" s="6">
        <v>49500</v>
      </c>
      <c r="E60" s="6">
        <v>41250</v>
      </c>
      <c r="F60" s="13">
        <f t="shared" si="1"/>
        <v>8250</v>
      </c>
    </row>
    <row r="61" spans="2:6" ht="20.100000000000001" customHeight="1" x14ac:dyDescent="0.3">
      <c r="B61" s="4" t="s">
        <v>182</v>
      </c>
      <c r="C61" s="12"/>
      <c r="D61" s="6">
        <v>600</v>
      </c>
      <c r="E61" s="6">
        <v>600</v>
      </c>
      <c r="F61" s="13">
        <f>D61-E61</f>
        <v>0</v>
      </c>
    </row>
    <row r="62" spans="2:6" ht="20.100000000000001" customHeight="1" x14ac:dyDescent="0.3">
      <c r="B62" s="4" t="s">
        <v>183</v>
      </c>
      <c r="C62" s="12"/>
      <c r="D62" s="36">
        <v>9712.4</v>
      </c>
      <c r="E62" s="36">
        <v>7479.02</v>
      </c>
      <c r="F62" s="323">
        <f t="shared" si="1"/>
        <v>2233.3799999999992</v>
      </c>
    </row>
    <row r="63" spans="2:6" ht="20.100000000000001" customHeight="1" x14ac:dyDescent="0.3">
      <c r="B63" s="4" t="s">
        <v>184</v>
      </c>
      <c r="C63" s="12"/>
      <c r="D63" s="36">
        <v>73500</v>
      </c>
      <c r="E63" s="36">
        <v>56900</v>
      </c>
      <c r="F63" s="323">
        <f t="shared" si="1"/>
        <v>16600</v>
      </c>
    </row>
    <row r="64" spans="2:6" ht="20.100000000000001" customHeight="1" x14ac:dyDescent="0.3">
      <c r="B64" s="4" t="s">
        <v>185</v>
      </c>
      <c r="C64" s="12"/>
      <c r="D64" s="36">
        <v>1071257.05</v>
      </c>
      <c r="E64" s="36">
        <v>0</v>
      </c>
      <c r="F64" s="323">
        <f t="shared" ref="F64:F65" si="2">D64-E64</f>
        <v>1071257.05</v>
      </c>
    </row>
    <row r="65" spans="2:6" ht="20.100000000000001" customHeight="1" x14ac:dyDescent="0.3">
      <c r="B65" s="4" t="s">
        <v>713</v>
      </c>
      <c r="C65" s="12"/>
      <c r="D65" s="36">
        <v>13350</v>
      </c>
      <c r="E65" s="36">
        <v>8900</v>
      </c>
      <c r="F65" s="323">
        <f t="shared" si="2"/>
        <v>4450</v>
      </c>
    </row>
    <row r="66" spans="2:6" ht="20.100000000000001" customHeight="1" x14ac:dyDescent="0.3">
      <c r="B66" s="4" t="s">
        <v>186</v>
      </c>
      <c r="C66" s="12"/>
      <c r="D66" s="36">
        <v>1155.5</v>
      </c>
      <c r="E66" s="36">
        <v>330.5</v>
      </c>
      <c r="F66" s="323">
        <f t="shared" si="1"/>
        <v>825</v>
      </c>
    </row>
    <row r="67" spans="2:6" ht="20.100000000000001" customHeight="1" x14ac:dyDescent="0.3">
      <c r="B67" s="4" t="s">
        <v>187</v>
      </c>
      <c r="C67" s="12"/>
      <c r="D67" s="36">
        <v>0</v>
      </c>
      <c r="E67" s="36">
        <v>0</v>
      </c>
      <c r="F67" s="323">
        <f t="shared" si="1"/>
        <v>0</v>
      </c>
    </row>
    <row r="68" spans="2:6" ht="20.100000000000001" customHeight="1" x14ac:dyDescent="0.3">
      <c r="B68" s="4" t="s">
        <v>188</v>
      </c>
      <c r="C68" s="12"/>
      <c r="D68" s="36">
        <v>409312.5</v>
      </c>
      <c r="E68" s="36">
        <v>250012.5</v>
      </c>
      <c r="F68" s="323">
        <f t="shared" si="1"/>
        <v>159300</v>
      </c>
    </row>
    <row r="69" spans="2:6" ht="20.100000000000001" customHeight="1" x14ac:dyDescent="0.3">
      <c r="B69" s="4" t="s">
        <v>195</v>
      </c>
      <c r="C69" s="12"/>
      <c r="D69" s="36">
        <v>1054743</v>
      </c>
      <c r="E69" s="36">
        <v>1054743</v>
      </c>
      <c r="F69" s="323">
        <f>D69-E69</f>
        <v>0</v>
      </c>
    </row>
    <row r="70" spans="2:6" ht="20.100000000000001" customHeight="1" x14ac:dyDescent="0.3">
      <c r="B70" s="4" t="s">
        <v>189</v>
      </c>
      <c r="C70" s="12"/>
      <c r="D70" s="36">
        <v>493323.72</v>
      </c>
      <c r="E70" s="36">
        <v>411103.1</v>
      </c>
      <c r="F70" s="323">
        <f t="shared" si="1"/>
        <v>82220.62</v>
      </c>
    </row>
    <row r="71" spans="2:6" ht="20.100000000000001" customHeight="1" x14ac:dyDescent="0.3">
      <c r="B71" s="4" t="s">
        <v>190</v>
      </c>
      <c r="C71" s="12" t="s">
        <v>73</v>
      </c>
      <c r="D71" s="36">
        <v>5596248.6799999997</v>
      </c>
      <c r="E71" s="36">
        <v>4766613.4400000004</v>
      </c>
      <c r="F71" s="323">
        <f t="shared" si="1"/>
        <v>829635.23999999929</v>
      </c>
    </row>
    <row r="72" spans="2:6" ht="20.100000000000001" customHeight="1" x14ac:dyDescent="0.3">
      <c r="B72" s="4" t="s">
        <v>191</v>
      </c>
      <c r="C72" s="12"/>
      <c r="D72" s="36">
        <v>630000.01</v>
      </c>
      <c r="E72" s="36">
        <v>0</v>
      </c>
      <c r="F72" s="323">
        <f t="shared" si="1"/>
        <v>630000.01</v>
      </c>
    </row>
    <row r="73" spans="2:6" ht="20.100000000000001" customHeight="1" x14ac:dyDescent="0.3">
      <c r="B73" s="4" t="s">
        <v>192</v>
      </c>
      <c r="C73" s="12"/>
      <c r="D73" s="36">
        <v>331943.78000000003</v>
      </c>
      <c r="E73" s="36">
        <v>115295.78</v>
      </c>
      <c r="F73" s="323">
        <f t="shared" si="1"/>
        <v>216648.00000000003</v>
      </c>
    </row>
    <row r="74" spans="2:6" ht="20.100000000000001" customHeight="1" x14ac:dyDescent="0.3">
      <c r="B74" s="4" t="s">
        <v>193</v>
      </c>
      <c r="C74" s="12"/>
      <c r="D74" s="6">
        <v>1670583.11</v>
      </c>
      <c r="E74" s="6">
        <v>666626.31999999995</v>
      </c>
      <c r="F74" s="13">
        <f>D74-E74</f>
        <v>1003956.7900000002</v>
      </c>
    </row>
    <row r="75" spans="2:6" ht="20.100000000000001" customHeight="1" x14ac:dyDescent="0.3">
      <c r="B75" s="4" t="s">
        <v>194</v>
      </c>
      <c r="C75" s="12"/>
      <c r="D75" s="6">
        <v>25467.17</v>
      </c>
      <c r="E75" s="6">
        <v>25467.17</v>
      </c>
      <c r="F75" s="13">
        <f t="shared" ref="F75:F79" si="3">D75-E75</f>
        <v>0</v>
      </c>
    </row>
    <row r="76" spans="2:6" ht="20.100000000000001" hidden="1" customHeight="1" x14ac:dyDescent="0.3">
      <c r="B76" s="4" t="s">
        <v>196</v>
      </c>
      <c r="C76" s="12"/>
      <c r="F76" s="13">
        <f t="shared" si="3"/>
        <v>0</v>
      </c>
    </row>
    <row r="77" spans="2:6" ht="20.100000000000001" customHeight="1" x14ac:dyDescent="0.3">
      <c r="B77" s="4" t="s">
        <v>197</v>
      </c>
      <c r="C77" s="12"/>
      <c r="D77" s="6">
        <v>16000</v>
      </c>
      <c r="E77" s="6">
        <v>14000</v>
      </c>
      <c r="F77" s="13">
        <f t="shared" si="3"/>
        <v>2000</v>
      </c>
    </row>
    <row r="78" spans="2:6" ht="20.100000000000001" customHeight="1" x14ac:dyDescent="0.3">
      <c r="B78" s="4" t="s">
        <v>198</v>
      </c>
      <c r="C78" s="12" t="s">
        <v>73</v>
      </c>
      <c r="D78" s="6">
        <v>4120.25</v>
      </c>
      <c r="E78" s="6">
        <v>3610.25</v>
      </c>
      <c r="F78" s="13">
        <f t="shared" si="3"/>
        <v>510</v>
      </c>
    </row>
    <row r="79" spans="2:6" ht="20.100000000000001" hidden="1" customHeight="1" x14ac:dyDescent="0.3">
      <c r="B79" s="4" t="s">
        <v>199</v>
      </c>
      <c r="C79" s="12"/>
      <c r="F79" s="13">
        <f t="shared" si="3"/>
        <v>0</v>
      </c>
    </row>
    <row r="80" spans="2:6" ht="20.100000000000001" hidden="1" customHeight="1" x14ac:dyDescent="0.3">
      <c r="B80" s="4" t="s">
        <v>200</v>
      </c>
      <c r="C80" s="12"/>
      <c r="F80" s="13">
        <f t="shared" ref="F80" si="4">D80-E80</f>
        <v>0</v>
      </c>
    </row>
    <row r="81" spans="2:8" ht="20.100000000000001" customHeight="1" x14ac:dyDescent="0.3">
      <c r="B81" s="4" t="s">
        <v>201</v>
      </c>
      <c r="C81" s="12"/>
      <c r="D81" s="6">
        <v>314200</v>
      </c>
      <c r="E81" s="6">
        <v>314200</v>
      </c>
      <c r="F81" s="13">
        <f t="shared" si="1"/>
        <v>0</v>
      </c>
    </row>
    <row r="82" spans="2:8" ht="20.100000000000001" customHeight="1" x14ac:dyDescent="0.3">
      <c r="B82" s="4" t="s">
        <v>202</v>
      </c>
      <c r="C82" s="12"/>
      <c r="D82" s="6">
        <v>1913371.83</v>
      </c>
      <c r="E82" s="6">
        <v>1852601.83</v>
      </c>
      <c r="F82" s="13">
        <f t="shared" si="1"/>
        <v>60770</v>
      </c>
    </row>
    <row r="83" spans="2:8" ht="20.100000000000001" customHeight="1" x14ac:dyDescent="0.3">
      <c r="B83" s="4" t="s">
        <v>203</v>
      </c>
      <c r="C83" s="12"/>
      <c r="D83" s="6">
        <v>72915965.239999995</v>
      </c>
      <c r="E83" s="6">
        <v>72610240.620000005</v>
      </c>
      <c r="F83" s="13">
        <f t="shared" si="1"/>
        <v>305724.61999998987</v>
      </c>
      <c r="H83" s="26"/>
    </row>
    <row r="84" spans="2:8" ht="20.100000000000001" customHeight="1" x14ac:dyDescent="0.3">
      <c r="B84" s="4" t="s">
        <v>204</v>
      </c>
      <c r="C84" s="12"/>
      <c r="D84" s="6">
        <f>1764650+1036350</f>
        <v>2801000</v>
      </c>
      <c r="E84" s="6">
        <v>814650</v>
      </c>
      <c r="F84" s="13">
        <f t="shared" si="1"/>
        <v>1986350</v>
      </c>
    </row>
    <row r="85" spans="2:8" ht="20.100000000000001" customHeight="1" x14ac:dyDescent="0.3">
      <c r="B85" s="4" t="s">
        <v>897</v>
      </c>
      <c r="C85" s="12"/>
      <c r="D85" s="6">
        <v>11435</v>
      </c>
      <c r="E85" s="6">
        <v>11435</v>
      </c>
      <c r="F85" s="13">
        <f t="shared" ref="F85" si="5">D85-E85</f>
        <v>0</v>
      </c>
    </row>
    <row r="86" spans="2:8" ht="20.100000000000001" hidden="1" customHeight="1" x14ac:dyDescent="0.3">
      <c r="B86" s="4" t="s">
        <v>205</v>
      </c>
      <c r="C86" s="12"/>
      <c r="F86" s="13">
        <f t="shared" si="1"/>
        <v>0</v>
      </c>
    </row>
    <row r="87" spans="2:8" ht="20.100000000000001" hidden="1" customHeight="1" x14ac:dyDescent="0.3">
      <c r="B87" s="4" t="s">
        <v>205</v>
      </c>
      <c r="C87" s="27"/>
      <c r="D87" s="6">
        <v>0</v>
      </c>
      <c r="E87" s="13">
        <v>0</v>
      </c>
      <c r="F87" s="13">
        <f t="shared" si="1"/>
        <v>0</v>
      </c>
    </row>
    <row r="88" spans="2:8" ht="20.100000000000001" customHeight="1" x14ac:dyDescent="0.3">
      <c r="B88" s="28"/>
      <c r="C88" s="20" t="s">
        <v>891</v>
      </c>
      <c r="E88" s="13"/>
      <c r="F88" s="13"/>
    </row>
    <row r="89" spans="2:8" s="14" customFormat="1" ht="24.75" customHeight="1" x14ac:dyDescent="0.25">
      <c r="B89" s="14" t="s">
        <v>206</v>
      </c>
      <c r="C89" s="15" t="s">
        <v>73</v>
      </c>
      <c r="D89" s="22">
        <f>SUM(D55:D87)</f>
        <v>94944915.719999999</v>
      </c>
      <c r="E89" s="22">
        <f>SUM(E55:E87)</f>
        <v>87576999.439999998</v>
      </c>
      <c r="F89" s="22">
        <f>SUM(F55:F87)</f>
        <v>7367916.2799999891</v>
      </c>
    </row>
    <row r="90" spans="2:8" ht="20.100000000000001" customHeight="1" x14ac:dyDescent="0.3">
      <c r="C90" s="12" t="s">
        <v>73</v>
      </c>
      <c r="E90" s="13"/>
      <c r="F90" s="13"/>
    </row>
    <row r="91" spans="2:8" ht="20.100000000000001" customHeight="1" x14ac:dyDescent="0.3">
      <c r="C91" s="12" t="s">
        <v>73</v>
      </c>
      <c r="F91" s="13"/>
    </row>
    <row r="92" spans="2:8" s="18" customFormat="1" ht="24.75" customHeight="1" x14ac:dyDescent="0.25">
      <c r="B92" s="14" t="s">
        <v>207</v>
      </c>
      <c r="C92" s="15">
        <v>20</v>
      </c>
      <c r="D92" s="16"/>
      <c r="E92" s="17"/>
      <c r="F92" s="17"/>
    </row>
    <row r="93" spans="2:8" ht="20.100000000000001" customHeight="1" x14ac:dyDescent="0.3">
      <c r="B93" s="4" t="s">
        <v>208</v>
      </c>
      <c r="C93" s="12" t="s">
        <v>73</v>
      </c>
      <c r="D93" s="36">
        <v>1064879.73</v>
      </c>
      <c r="E93" s="36">
        <v>786135.31</v>
      </c>
      <c r="F93" s="323">
        <f>D93-E93</f>
        <v>278744.41999999993</v>
      </c>
      <c r="H93" s="18"/>
    </row>
    <row r="94" spans="2:8" ht="20.100000000000001" customHeight="1" x14ac:dyDescent="0.3">
      <c r="B94" s="4" t="s">
        <v>209</v>
      </c>
      <c r="C94" s="12"/>
      <c r="D94" s="36">
        <v>228825.60000000001</v>
      </c>
      <c r="E94" s="36">
        <v>228825.60000000001</v>
      </c>
      <c r="F94" s="323">
        <f t="shared" ref="F94:F107" si="6">D94-E94</f>
        <v>0</v>
      </c>
      <c r="H94" s="18"/>
    </row>
    <row r="95" spans="2:8" ht="20.100000000000001" customHeight="1" x14ac:dyDescent="0.3">
      <c r="B95" s="4" t="s">
        <v>210</v>
      </c>
      <c r="C95" s="12" t="s">
        <v>73</v>
      </c>
      <c r="D95" s="36">
        <v>33348.21</v>
      </c>
      <c r="E95" s="36">
        <v>31782.89</v>
      </c>
      <c r="F95" s="323">
        <f t="shared" si="6"/>
        <v>1565.3199999999997</v>
      </c>
      <c r="H95" s="18"/>
    </row>
    <row r="96" spans="2:8" ht="20.100000000000001" customHeight="1" x14ac:dyDescent="0.3">
      <c r="B96" s="4" t="s">
        <v>211</v>
      </c>
      <c r="C96" s="12" t="s">
        <v>73</v>
      </c>
      <c r="D96" s="36">
        <v>20616.05</v>
      </c>
      <c r="E96" s="36">
        <v>9516.0499999999993</v>
      </c>
      <c r="F96" s="323">
        <f t="shared" si="6"/>
        <v>11100</v>
      </c>
      <c r="H96" s="18"/>
    </row>
    <row r="97" spans="2:8" ht="20.100000000000001" customHeight="1" x14ac:dyDescent="0.3">
      <c r="B97" s="4" t="s">
        <v>212</v>
      </c>
      <c r="C97" s="12" t="s">
        <v>73</v>
      </c>
      <c r="D97" s="36">
        <v>4626391.8</v>
      </c>
      <c r="E97" s="36">
        <v>3481757.6</v>
      </c>
      <c r="F97" s="323">
        <f t="shared" si="6"/>
        <v>1144634.1999999997</v>
      </c>
      <c r="H97" s="18"/>
    </row>
    <row r="98" spans="2:8" ht="20.100000000000001" customHeight="1" x14ac:dyDescent="0.3">
      <c r="B98" s="4" t="s">
        <v>213</v>
      </c>
      <c r="C98" s="12"/>
      <c r="D98" s="36">
        <v>0</v>
      </c>
      <c r="E98" s="36">
        <v>0</v>
      </c>
      <c r="F98" s="323">
        <f>D98-E98</f>
        <v>0</v>
      </c>
      <c r="H98" s="18"/>
    </row>
    <row r="99" spans="2:8" ht="20.100000000000001" customHeight="1" x14ac:dyDescent="0.3">
      <c r="B99" s="4" t="s">
        <v>214</v>
      </c>
      <c r="C99" s="12" t="s">
        <v>73</v>
      </c>
      <c r="D99" s="36">
        <v>67966.009999999995</v>
      </c>
      <c r="E99" s="36">
        <v>7559.25</v>
      </c>
      <c r="F99" s="323">
        <f t="shared" si="6"/>
        <v>60406.759999999995</v>
      </c>
      <c r="H99" s="18"/>
    </row>
    <row r="100" spans="2:8" ht="20.100000000000001" customHeight="1" x14ac:dyDescent="0.3">
      <c r="B100" s="4" t="s">
        <v>215</v>
      </c>
      <c r="C100" s="12" t="s">
        <v>73</v>
      </c>
      <c r="D100" s="36">
        <v>321241.46000000002</v>
      </c>
      <c r="E100" s="36">
        <v>107771.16</v>
      </c>
      <c r="F100" s="323">
        <f t="shared" si="6"/>
        <v>213470.30000000002</v>
      </c>
      <c r="H100" s="18"/>
    </row>
    <row r="101" spans="2:8" ht="20.100000000000001" customHeight="1" x14ac:dyDescent="0.3">
      <c r="B101" s="4" t="s">
        <v>216</v>
      </c>
      <c r="C101" s="12" t="s">
        <v>73</v>
      </c>
      <c r="D101" s="36">
        <v>109130.18</v>
      </c>
      <c r="E101" s="36">
        <v>84939.46</v>
      </c>
      <c r="F101" s="323">
        <f t="shared" si="6"/>
        <v>24190.719999999987</v>
      </c>
      <c r="H101" s="18"/>
    </row>
    <row r="102" spans="2:8" ht="20.100000000000001" customHeight="1" x14ac:dyDescent="0.3">
      <c r="B102" s="4" t="s">
        <v>217</v>
      </c>
      <c r="C102" s="12" t="s">
        <v>73</v>
      </c>
      <c r="D102" s="36">
        <v>10993.32</v>
      </c>
      <c r="E102" s="36">
        <v>10993.32</v>
      </c>
      <c r="F102" s="323">
        <f>D102-E102</f>
        <v>0</v>
      </c>
      <c r="H102" s="18"/>
    </row>
    <row r="103" spans="2:8" ht="20.100000000000001" customHeight="1" x14ac:dyDescent="0.3">
      <c r="B103" s="4" t="s">
        <v>218</v>
      </c>
      <c r="C103" s="12" t="s">
        <v>73</v>
      </c>
      <c r="D103" s="36">
        <v>1243892.28</v>
      </c>
      <c r="E103" s="36">
        <v>981896.36</v>
      </c>
      <c r="F103" s="323">
        <f t="shared" si="6"/>
        <v>261995.92000000004</v>
      </c>
      <c r="H103" s="18"/>
    </row>
    <row r="104" spans="2:8" ht="20.100000000000001" customHeight="1" x14ac:dyDescent="0.3">
      <c r="B104" s="4" t="s">
        <v>219</v>
      </c>
      <c r="C104" s="12" t="s">
        <v>73</v>
      </c>
      <c r="D104" s="36">
        <v>3296667.69</v>
      </c>
      <c r="E104" s="36">
        <v>2711028.09</v>
      </c>
      <c r="F104" s="323">
        <f t="shared" si="6"/>
        <v>585639.60000000009</v>
      </c>
      <c r="H104" s="18"/>
    </row>
    <row r="105" spans="2:8" ht="20.100000000000001" customHeight="1" x14ac:dyDescent="0.3">
      <c r="B105" s="4" t="s">
        <v>220</v>
      </c>
      <c r="C105" s="12"/>
      <c r="D105" s="36">
        <v>614385.96</v>
      </c>
      <c r="E105" s="36">
        <v>511988.3</v>
      </c>
      <c r="F105" s="323">
        <f t="shared" si="6"/>
        <v>102397.65999999997</v>
      </c>
      <c r="H105" s="18"/>
    </row>
    <row r="106" spans="2:8" ht="20.100000000000001" customHeight="1" x14ac:dyDescent="0.3">
      <c r="B106" s="4" t="s">
        <v>221</v>
      </c>
      <c r="C106" s="12" t="s">
        <v>73</v>
      </c>
      <c r="D106" s="36">
        <v>2090425.21</v>
      </c>
      <c r="E106" s="36">
        <v>1690295</v>
      </c>
      <c r="F106" s="323">
        <f>D106-E106</f>
        <v>400130.20999999996</v>
      </c>
      <c r="H106" s="18"/>
    </row>
    <row r="107" spans="2:8" ht="20.100000000000001" customHeight="1" x14ac:dyDescent="0.3">
      <c r="B107" s="4" t="s">
        <v>222</v>
      </c>
      <c r="C107" s="12"/>
      <c r="D107" s="36">
        <v>100382.7</v>
      </c>
      <c r="E107" s="36">
        <v>83652.25</v>
      </c>
      <c r="F107" s="323">
        <f t="shared" si="6"/>
        <v>16730.449999999997</v>
      </c>
      <c r="H107" s="18"/>
    </row>
    <row r="108" spans="2:8" ht="20.100000000000001" customHeight="1" x14ac:dyDescent="0.25">
      <c r="C108" s="20" t="s">
        <v>891</v>
      </c>
      <c r="E108" s="13"/>
      <c r="F108" s="13"/>
      <c r="H108" s="18"/>
    </row>
    <row r="109" spans="2:8" s="14" customFormat="1" ht="24.75" customHeight="1" x14ac:dyDescent="0.25">
      <c r="B109" s="14" t="s">
        <v>223</v>
      </c>
      <c r="C109" s="15" t="s">
        <v>73</v>
      </c>
      <c r="D109" s="22">
        <f>SUM(D93:D107)</f>
        <v>13829146.199999999</v>
      </c>
      <c r="E109" s="22">
        <f>SUM(E93:E107)</f>
        <v>10728140.640000001</v>
      </c>
      <c r="F109" s="22">
        <f>SUM(F93:F107)</f>
        <v>3101005.56</v>
      </c>
      <c r="H109" s="18"/>
    </row>
    <row r="110" spans="2:8" ht="20.100000000000001" customHeight="1" x14ac:dyDescent="0.3">
      <c r="C110" s="12" t="s">
        <v>73</v>
      </c>
      <c r="E110" s="29"/>
      <c r="F110" s="13"/>
      <c r="H110" s="18"/>
    </row>
    <row r="111" spans="2:8" ht="20.100000000000001" customHeight="1" x14ac:dyDescent="0.3">
      <c r="C111" s="12" t="s">
        <v>73</v>
      </c>
      <c r="E111" s="13"/>
      <c r="F111" s="13"/>
      <c r="H111" s="18"/>
    </row>
    <row r="112" spans="2:8" s="18" customFormat="1" ht="24.75" customHeight="1" x14ac:dyDescent="0.25">
      <c r="B112" s="14" t="s">
        <v>224</v>
      </c>
      <c r="C112" s="15">
        <v>21</v>
      </c>
      <c r="D112" s="16"/>
      <c r="E112" s="17"/>
      <c r="F112" s="17"/>
    </row>
    <row r="113" spans="2:8" ht="20.100000000000001" customHeight="1" x14ac:dyDescent="0.3">
      <c r="B113" s="4" t="s">
        <v>225</v>
      </c>
      <c r="C113" s="12" t="s">
        <v>73</v>
      </c>
      <c r="D113" s="6">
        <v>0</v>
      </c>
      <c r="E113" s="6">
        <v>0</v>
      </c>
      <c r="F113" s="13">
        <f>D113-E113</f>
        <v>0</v>
      </c>
      <c r="H113" s="18"/>
    </row>
    <row r="114" spans="2:8" ht="20.100000000000001" customHeight="1" x14ac:dyDescent="0.3">
      <c r="B114" s="4" t="s">
        <v>899</v>
      </c>
      <c r="C114" s="12"/>
      <c r="D114" s="36">
        <v>121527</v>
      </c>
      <c r="E114" s="36">
        <v>121527</v>
      </c>
      <c r="F114" s="323">
        <f t="shared" ref="F114:F122" si="7">D114-E114</f>
        <v>0</v>
      </c>
      <c r="H114" s="18"/>
    </row>
    <row r="115" spans="2:8" ht="20.100000000000001" customHeight="1" x14ac:dyDescent="0.3">
      <c r="B115" s="4" t="s">
        <v>898</v>
      </c>
      <c r="C115" s="12"/>
      <c r="D115" s="36">
        <v>223115861.97999999</v>
      </c>
      <c r="E115" s="36">
        <v>223115861.97999999</v>
      </c>
      <c r="F115" s="323">
        <f t="shared" si="7"/>
        <v>0</v>
      </c>
      <c r="H115" s="18"/>
    </row>
    <row r="116" spans="2:8" ht="18" customHeight="1" x14ac:dyDescent="0.3">
      <c r="B116" s="4" t="s">
        <v>226</v>
      </c>
      <c r="C116" s="12"/>
      <c r="D116" s="36">
        <v>921554</v>
      </c>
      <c r="E116" s="36">
        <v>697920</v>
      </c>
      <c r="F116" s="323">
        <f t="shared" si="7"/>
        <v>223634</v>
      </c>
      <c r="H116" s="18" t="s">
        <v>0</v>
      </c>
    </row>
    <row r="117" spans="2:8" ht="20.100000000000001" customHeight="1" x14ac:dyDescent="0.3">
      <c r="B117" s="4" t="s">
        <v>227</v>
      </c>
      <c r="C117" s="12"/>
      <c r="D117" s="36">
        <v>6214868.3600000003</v>
      </c>
      <c r="E117" s="36">
        <v>6485744.8300000001</v>
      </c>
      <c r="F117" s="323">
        <f>D117-E117</f>
        <v>-270876.46999999974</v>
      </c>
      <c r="H117" s="18"/>
    </row>
    <row r="118" spans="2:8" ht="19.5" customHeight="1" x14ac:dyDescent="0.3">
      <c r="B118" s="4" t="s">
        <v>228</v>
      </c>
      <c r="C118" s="12"/>
      <c r="D118" s="36">
        <v>3850</v>
      </c>
      <c r="E118" s="36">
        <v>0</v>
      </c>
      <c r="F118" s="323">
        <f>D118-E118</f>
        <v>3850</v>
      </c>
      <c r="H118" s="18"/>
    </row>
    <row r="119" spans="2:8" ht="19.5" hidden="1" customHeight="1" x14ac:dyDescent="0.3">
      <c r="B119" s="4" t="s">
        <v>229</v>
      </c>
      <c r="C119" s="12"/>
      <c r="F119" s="13">
        <f>D119-E119</f>
        <v>0</v>
      </c>
    </row>
    <row r="120" spans="2:8" ht="19.5" hidden="1" customHeight="1" x14ac:dyDescent="0.3">
      <c r="B120" s="4" t="s">
        <v>230</v>
      </c>
      <c r="C120" s="12"/>
      <c r="F120" s="13">
        <f>D120-E120</f>
        <v>0</v>
      </c>
    </row>
    <row r="121" spans="2:8" ht="19.5" hidden="1" customHeight="1" x14ac:dyDescent="0.3">
      <c r="B121" s="4" t="s">
        <v>231</v>
      </c>
      <c r="C121" s="12"/>
      <c r="F121" s="13">
        <f t="shared" ref="F121" si="8">D121-E121</f>
        <v>0</v>
      </c>
    </row>
    <row r="122" spans="2:8" ht="19.5" hidden="1" customHeight="1" x14ac:dyDescent="0.3">
      <c r="B122" s="4" t="s">
        <v>232</v>
      </c>
      <c r="C122" s="12"/>
      <c r="F122" s="13">
        <f t="shared" si="7"/>
        <v>0</v>
      </c>
    </row>
    <row r="123" spans="2:8" ht="19.5" customHeight="1" x14ac:dyDescent="0.25">
      <c r="C123" s="20" t="s">
        <v>891</v>
      </c>
      <c r="E123" s="13"/>
      <c r="F123" s="13"/>
    </row>
    <row r="124" spans="2:8" s="14" customFormat="1" ht="24.75" customHeight="1" x14ac:dyDescent="0.25">
      <c r="B124" s="14" t="s">
        <v>233</v>
      </c>
      <c r="C124" s="15" t="s">
        <v>73</v>
      </c>
      <c r="D124" s="22">
        <f>SUM(D113:D123)</f>
        <v>230377661.34</v>
      </c>
      <c r="E124" s="23">
        <f>SUM(E113:E123)</f>
        <v>230421053.81</v>
      </c>
      <c r="F124" s="23">
        <f>SUM(F113:F123)</f>
        <v>-43392.469999999739</v>
      </c>
    </row>
    <row r="125" spans="2:8" ht="20.100000000000001" customHeight="1" x14ac:dyDescent="0.3">
      <c r="C125" s="12" t="s">
        <v>73</v>
      </c>
      <c r="E125" s="13"/>
      <c r="F125" s="13"/>
    </row>
    <row r="126" spans="2:8" ht="20.100000000000001" customHeight="1" x14ac:dyDescent="0.3">
      <c r="C126" s="12" t="s">
        <v>73</v>
      </c>
      <c r="D126" s="24"/>
      <c r="E126" s="13"/>
      <c r="F126" s="13"/>
    </row>
    <row r="127" spans="2:8" s="18" customFormat="1" ht="24.75" customHeight="1" x14ac:dyDescent="0.25">
      <c r="B127" s="14" t="s">
        <v>234</v>
      </c>
      <c r="C127" s="15">
        <v>22</v>
      </c>
      <c r="D127" s="16"/>
      <c r="E127" s="17"/>
      <c r="F127" s="17"/>
    </row>
    <row r="128" spans="2:8" s="30" customFormat="1" ht="20.100000000000001" customHeight="1" x14ac:dyDescent="0.3">
      <c r="B128" s="30" t="s">
        <v>235</v>
      </c>
      <c r="C128" s="12" t="s">
        <v>73</v>
      </c>
      <c r="D128" s="6">
        <v>53728.87</v>
      </c>
      <c r="E128" s="6">
        <v>53728.87</v>
      </c>
      <c r="F128" s="13">
        <f>D128-E128</f>
        <v>0</v>
      </c>
      <c r="G128" s="13">
        <f>E128-F128</f>
        <v>53728.87</v>
      </c>
    </row>
    <row r="129" spans="2:7" s="30" customFormat="1" ht="15.6" x14ac:dyDescent="0.3">
      <c r="B129" s="30" t="s">
        <v>236</v>
      </c>
      <c r="C129" s="12" t="s">
        <v>73</v>
      </c>
      <c r="D129" s="36">
        <v>-62596.25</v>
      </c>
      <c r="E129" s="36">
        <v>-62596.25</v>
      </c>
      <c r="F129" s="323">
        <f>D129-E129</f>
        <v>0</v>
      </c>
      <c r="G129" s="323"/>
    </row>
    <row r="130" spans="2:7" s="30" customFormat="1" ht="15.6" hidden="1" x14ac:dyDescent="0.3">
      <c r="B130" s="30" t="s">
        <v>237</v>
      </c>
      <c r="C130" s="12"/>
      <c r="D130" s="36"/>
      <c r="E130" s="36"/>
      <c r="F130" s="323">
        <f>D130-E130</f>
        <v>0</v>
      </c>
      <c r="G130" s="323"/>
    </row>
    <row r="131" spans="2:7" x14ac:dyDescent="0.25">
      <c r="B131" s="25"/>
      <c r="C131" s="20" t="s">
        <v>891</v>
      </c>
      <c r="D131" s="13"/>
      <c r="E131" s="13"/>
      <c r="F131" s="13"/>
    </row>
    <row r="132" spans="2:7" s="14" customFormat="1" ht="24.75" customHeight="1" x14ac:dyDescent="0.25">
      <c r="B132" s="14" t="s">
        <v>238</v>
      </c>
      <c r="C132" s="15" t="s">
        <v>73</v>
      </c>
      <c r="D132" s="22">
        <f>SUM(D128:D131)</f>
        <v>-8867.3799999999974</v>
      </c>
      <c r="E132" s="23">
        <f>SUM(E128:E131)</f>
        <v>-8867.3799999999974</v>
      </c>
      <c r="F132" s="23">
        <f>SUM(F128:F131)</f>
        <v>0</v>
      </c>
    </row>
    <row r="133" spans="2:7" ht="20.100000000000001" customHeight="1" x14ac:dyDescent="0.3">
      <c r="C133" s="12" t="s">
        <v>73</v>
      </c>
      <c r="D133" s="13"/>
      <c r="E133" s="13"/>
      <c r="F133" s="13"/>
    </row>
    <row r="134" spans="2:7" ht="15.6" x14ac:dyDescent="0.3">
      <c r="C134" s="12"/>
      <c r="D134" s="31"/>
      <c r="E134" s="13"/>
      <c r="F134" s="13"/>
    </row>
    <row r="135" spans="2:7" ht="15.6" x14ac:dyDescent="0.3">
      <c r="C135" s="12"/>
      <c r="E135" s="13"/>
      <c r="F135" s="13"/>
    </row>
    <row r="136" spans="2:7" ht="15.6" x14ac:dyDescent="0.3">
      <c r="C136" s="12"/>
      <c r="D136" s="13"/>
      <c r="E136" s="13"/>
      <c r="F136" s="13"/>
    </row>
    <row r="137" spans="2:7" ht="15.6" x14ac:dyDescent="0.3">
      <c r="C137" s="12"/>
      <c r="D137" s="13"/>
      <c r="E137" s="13"/>
      <c r="F137" s="13"/>
    </row>
    <row r="138" spans="2:7" ht="15.6" x14ac:dyDescent="0.3">
      <c r="C138" s="12"/>
      <c r="D138" s="13"/>
      <c r="E138" s="13"/>
      <c r="F138" s="13"/>
    </row>
    <row r="139" spans="2:7" ht="15.6" x14ac:dyDescent="0.3">
      <c r="C139" s="12"/>
      <c r="D139" s="13"/>
      <c r="E139" s="13"/>
      <c r="F139" s="13"/>
    </row>
    <row r="140" spans="2:7" ht="15.6" x14ac:dyDescent="0.3">
      <c r="C140" s="12"/>
      <c r="D140" s="13"/>
      <c r="E140" s="13"/>
      <c r="F140" s="13"/>
    </row>
    <row r="141" spans="2:7" ht="15.6" x14ac:dyDescent="0.3">
      <c r="C141" s="12"/>
      <c r="D141" s="13"/>
      <c r="E141" s="13"/>
      <c r="F141" s="13"/>
    </row>
    <row r="142" spans="2:7" ht="15.6" x14ac:dyDescent="0.3">
      <c r="C142" s="12"/>
      <c r="D142" s="13"/>
      <c r="E142" s="13"/>
      <c r="F142" s="13"/>
    </row>
    <row r="143" spans="2:7" ht="15.6" x14ac:dyDescent="0.3">
      <c r="C143" s="12"/>
      <c r="D143" s="13"/>
      <c r="E143" s="13"/>
      <c r="F143" s="13"/>
    </row>
    <row r="144" spans="2:7" ht="15.6" x14ac:dyDescent="0.3">
      <c r="C144" s="12"/>
      <c r="D144" s="13"/>
      <c r="E144" s="13"/>
      <c r="F144" s="13"/>
    </row>
    <row r="145" spans="3:6" ht="15.6" x14ac:dyDescent="0.3">
      <c r="C145" s="12"/>
      <c r="D145" s="13"/>
      <c r="E145" s="13"/>
      <c r="F145" s="13"/>
    </row>
    <row r="146" spans="3:6" ht="15.6" x14ac:dyDescent="0.3">
      <c r="C146" s="12"/>
      <c r="D146" s="13"/>
      <c r="E146" s="13"/>
      <c r="F146" s="13"/>
    </row>
    <row r="147" spans="3:6" ht="15.6" x14ac:dyDescent="0.3">
      <c r="C147" s="12"/>
      <c r="D147" s="13"/>
      <c r="E147" s="13"/>
      <c r="F147" s="13"/>
    </row>
    <row r="148" spans="3:6" ht="15.6" x14ac:dyDescent="0.3">
      <c r="C148" s="12"/>
      <c r="D148" s="13"/>
      <c r="E148" s="13"/>
      <c r="F148" s="13"/>
    </row>
    <row r="149" spans="3:6" ht="15.6" x14ac:dyDescent="0.3">
      <c r="C149" s="12"/>
      <c r="D149" s="13"/>
      <c r="E149" s="13"/>
      <c r="F149" s="13"/>
    </row>
    <row r="150" spans="3:6" ht="15.6" x14ac:dyDescent="0.3">
      <c r="C150" s="12"/>
      <c r="D150" s="13"/>
      <c r="E150" s="13"/>
      <c r="F150" s="13"/>
    </row>
    <row r="151" spans="3:6" ht="15.6" x14ac:dyDescent="0.3">
      <c r="C151" s="12"/>
      <c r="D151" s="13"/>
      <c r="E151" s="13"/>
      <c r="F151" s="13"/>
    </row>
    <row r="152" spans="3:6" ht="15.6" x14ac:dyDescent="0.3">
      <c r="C152" s="12"/>
      <c r="D152" s="13"/>
      <c r="E152" s="13"/>
      <c r="F152" s="13"/>
    </row>
    <row r="153" spans="3:6" ht="15.6" x14ac:dyDescent="0.3">
      <c r="C153" s="12"/>
      <c r="D153" s="13"/>
      <c r="E153" s="13"/>
      <c r="F153" s="13"/>
    </row>
    <row r="154" spans="3:6" ht="15.6" x14ac:dyDescent="0.3">
      <c r="C154" s="12"/>
      <c r="D154" s="13"/>
      <c r="E154" s="13"/>
      <c r="F154" s="13"/>
    </row>
    <row r="155" spans="3:6" ht="15.6" x14ac:dyDescent="0.3">
      <c r="C155" s="12"/>
      <c r="D155" s="13"/>
      <c r="E155" s="13"/>
      <c r="F155" s="13"/>
    </row>
    <row r="156" spans="3:6" ht="15.6" x14ac:dyDescent="0.3">
      <c r="C156" s="12"/>
      <c r="D156" s="13"/>
      <c r="E156" s="13"/>
      <c r="F156" s="13"/>
    </row>
    <row r="157" spans="3:6" ht="15.6" x14ac:dyDescent="0.3">
      <c r="C157" s="12"/>
      <c r="D157" s="13"/>
      <c r="E157" s="13"/>
      <c r="F157" s="13"/>
    </row>
    <row r="158" spans="3:6" ht="15.6" x14ac:dyDescent="0.3">
      <c r="C158" s="12"/>
      <c r="D158" s="13"/>
      <c r="E158" s="13"/>
      <c r="F158" s="13"/>
    </row>
    <row r="159" spans="3:6" ht="15.6" x14ac:dyDescent="0.3">
      <c r="C159" s="12"/>
      <c r="D159" s="13"/>
      <c r="E159" s="13"/>
      <c r="F159" s="13"/>
    </row>
    <row r="160" spans="3:6" ht="15.6" x14ac:dyDescent="0.3">
      <c r="C160" s="12"/>
      <c r="D160" s="13"/>
      <c r="E160" s="13"/>
      <c r="F160" s="13"/>
    </row>
    <row r="161" spans="3:6" ht="15.6" x14ac:dyDescent="0.3">
      <c r="C161" s="12"/>
      <c r="D161" s="13"/>
      <c r="E161" s="13"/>
      <c r="F161" s="13"/>
    </row>
    <row r="162" spans="3:6" ht="15.6" x14ac:dyDescent="0.3">
      <c r="C162" s="12"/>
      <c r="D162" s="13"/>
      <c r="E162" s="13"/>
      <c r="F162" s="13"/>
    </row>
    <row r="163" spans="3:6" ht="15.6" x14ac:dyDescent="0.3">
      <c r="C163" s="12"/>
      <c r="D163" s="13"/>
      <c r="E163" s="13"/>
      <c r="F163" s="13"/>
    </row>
    <row r="164" spans="3:6" ht="15.6" x14ac:dyDescent="0.3">
      <c r="C164" s="12"/>
      <c r="D164" s="13"/>
      <c r="E164" s="13"/>
      <c r="F164" s="13"/>
    </row>
    <row r="165" spans="3:6" ht="15.6" x14ac:dyDescent="0.3">
      <c r="C165" s="12"/>
      <c r="D165" s="13"/>
      <c r="E165" s="13"/>
      <c r="F165" s="13"/>
    </row>
    <row r="166" spans="3:6" ht="15.6" x14ac:dyDescent="0.3">
      <c r="C166" s="12"/>
      <c r="D166" s="13"/>
      <c r="E166" s="13"/>
      <c r="F166" s="13"/>
    </row>
    <row r="167" spans="3:6" ht="15.6" x14ac:dyDescent="0.3">
      <c r="C167" s="12"/>
      <c r="D167" s="13"/>
      <c r="E167" s="13"/>
      <c r="F167" s="13"/>
    </row>
    <row r="168" spans="3:6" ht="15.6" x14ac:dyDescent="0.3">
      <c r="C168" s="12"/>
      <c r="D168" s="13"/>
      <c r="E168" s="13"/>
      <c r="F168" s="13"/>
    </row>
    <row r="169" spans="3:6" ht="15.6" x14ac:dyDescent="0.3">
      <c r="C169" s="12"/>
      <c r="D169" s="13"/>
      <c r="E169" s="13"/>
      <c r="F169" s="13"/>
    </row>
    <row r="170" spans="3:6" ht="15.6" x14ac:dyDescent="0.3">
      <c r="C170" s="12"/>
      <c r="D170" s="13"/>
      <c r="E170" s="13"/>
      <c r="F170" s="13"/>
    </row>
    <row r="171" spans="3:6" ht="15.6" x14ac:dyDescent="0.3">
      <c r="C171" s="12"/>
      <c r="D171" s="13"/>
      <c r="E171" s="13"/>
      <c r="F171" s="13"/>
    </row>
    <row r="172" spans="3:6" ht="15.6" x14ac:dyDescent="0.3">
      <c r="C172" s="12"/>
      <c r="D172" s="13"/>
      <c r="E172" s="13"/>
      <c r="F172" s="13"/>
    </row>
    <row r="173" spans="3:6" ht="15.6" x14ac:dyDescent="0.3">
      <c r="C173" s="12"/>
      <c r="D173" s="13"/>
      <c r="E173" s="13"/>
      <c r="F173" s="13"/>
    </row>
    <row r="174" spans="3:6" ht="15.6" x14ac:dyDescent="0.3">
      <c r="C174" s="12"/>
      <c r="D174" s="13"/>
      <c r="E174" s="13"/>
      <c r="F174" s="13"/>
    </row>
    <row r="175" spans="3:6" ht="15.6" x14ac:dyDescent="0.3">
      <c r="C175" s="12"/>
      <c r="D175" s="13"/>
      <c r="E175" s="13"/>
      <c r="F175" s="13"/>
    </row>
    <row r="176" spans="3:6" ht="15.6" x14ac:dyDescent="0.3">
      <c r="C176" s="12"/>
      <c r="D176" s="13"/>
      <c r="E176" s="13"/>
      <c r="F176" s="13"/>
    </row>
    <row r="177" spans="3:14" ht="15.6" x14ac:dyDescent="0.3">
      <c r="C177" s="12"/>
      <c r="D177" s="13"/>
      <c r="E177" s="13"/>
      <c r="F177" s="13"/>
    </row>
    <row r="178" spans="3:14" ht="15.6" x14ac:dyDescent="0.3">
      <c r="C178" s="12"/>
      <c r="D178" s="13"/>
      <c r="E178" s="13"/>
      <c r="F178" s="13"/>
    </row>
    <row r="179" spans="3:14" ht="15.6" x14ac:dyDescent="0.3">
      <c r="C179" s="12"/>
      <c r="D179" s="13"/>
      <c r="E179" s="13"/>
      <c r="F179" s="13"/>
      <c r="J179" s="32"/>
    </row>
    <row r="180" spans="3:14" ht="15.6" x14ac:dyDescent="0.3">
      <c r="C180" s="12"/>
      <c r="D180" s="13"/>
      <c r="E180" s="13"/>
      <c r="F180" s="13"/>
    </row>
    <row r="181" spans="3:14" ht="15.6" x14ac:dyDescent="0.3">
      <c r="C181" s="12"/>
      <c r="D181" s="13"/>
      <c r="E181" s="13"/>
      <c r="F181" s="13"/>
      <c r="K181" s="32"/>
    </row>
    <row r="182" spans="3:14" ht="15.6" x14ac:dyDescent="0.3">
      <c r="C182" s="12"/>
      <c r="D182" s="13"/>
      <c r="E182" s="13"/>
      <c r="F182" s="13"/>
    </row>
    <row r="183" spans="3:14" ht="15.6" x14ac:dyDescent="0.3">
      <c r="C183" s="12"/>
      <c r="D183" s="13"/>
      <c r="E183" s="13"/>
      <c r="F183" s="13"/>
    </row>
    <row r="184" spans="3:14" ht="15.6" x14ac:dyDescent="0.3">
      <c r="C184" s="12"/>
      <c r="D184" s="13"/>
      <c r="E184" s="13"/>
      <c r="F184" s="13"/>
    </row>
    <row r="185" spans="3:14" ht="15.6" x14ac:dyDescent="0.3">
      <c r="C185" s="12"/>
      <c r="D185" s="13"/>
      <c r="E185" s="13"/>
      <c r="F185" s="13"/>
      <c r="J185" s="32"/>
    </row>
    <row r="186" spans="3:14" ht="15.6" x14ac:dyDescent="0.3">
      <c r="C186" s="12"/>
      <c r="D186" s="13"/>
      <c r="E186" s="13"/>
      <c r="F186" s="13"/>
    </row>
    <row r="187" spans="3:14" ht="15.6" x14ac:dyDescent="0.3">
      <c r="C187" s="12"/>
      <c r="D187" s="13"/>
      <c r="E187" s="13"/>
      <c r="F187" s="13"/>
      <c r="K187" s="32"/>
    </row>
    <row r="188" spans="3:14" ht="15.6" x14ac:dyDescent="0.3">
      <c r="C188" s="12"/>
      <c r="D188" s="13"/>
      <c r="E188" s="13"/>
      <c r="F188" s="13"/>
      <c r="K188" s="33"/>
    </row>
    <row r="189" spans="3:14" ht="15.6" x14ac:dyDescent="0.3">
      <c r="C189" s="12"/>
      <c r="D189" s="13"/>
      <c r="E189" s="13"/>
      <c r="F189" s="13"/>
    </row>
    <row r="191" spans="3:14" ht="15.6" x14ac:dyDescent="0.3">
      <c r="M191" s="34"/>
      <c r="N191" s="34"/>
    </row>
    <row r="192" spans="3:14" ht="15.6" x14ac:dyDescent="0.3">
      <c r="L192" s="33"/>
      <c r="M192" s="34"/>
      <c r="N192" s="34"/>
    </row>
    <row r="193" spans="12:14" ht="15.6" x14ac:dyDescent="0.3">
      <c r="L193" s="33"/>
      <c r="M193" s="35"/>
      <c r="N193" s="35"/>
    </row>
    <row r="194" spans="12:14" ht="15.6" x14ac:dyDescent="0.3">
      <c r="L194" s="33"/>
      <c r="M194" s="35"/>
      <c r="N194" s="35"/>
    </row>
    <row r="195" spans="12:14" ht="15.6" x14ac:dyDescent="0.3">
      <c r="L195" s="33"/>
      <c r="M195" s="35"/>
      <c r="N195" s="35"/>
    </row>
    <row r="196" spans="12:14" ht="15.6" x14ac:dyDescent="0.3">
      <c r="L196" s="33"/>
      <c r="M196" s="35"/>
      <c r="N196" s="35"/>
    </row>
    <row r="197" spans="12:14" x14ac:dyDescent="0.25">
      <c r="L197" s="33"/>
    </row>
    <row r="198" spans="12:14" x14ac:dyDescent="0.25">
      <c r="L198" s="33"/>
    </row>
    <row r="199" spans="12:14" x14ac:dyDescent="0.25">
      <c r="L199" s="33"/>
    </row>
    <row r="200" spans="12:14" x14ac:dyDescent="0.25">
      <c r="L200" s="33"/>
    </row>
  </sheetData>
  <pageMargins left="0.70866141732283472" right="0.70866141732283472" top="0.74803149606299213" bottom="0.47244094488188981" header="0.31496062992125984" footer="0.31496062992125984"/>
  <pageSetup scale="50" firstPageNumber="4" fitToHeight="2" orientation="portrait" useFirstPageNumber="1" r:id="rId1"/>
  <rowBreaks count="1" manualBreakCount="1">
    <brk id="67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H38"/>
  <sheetViews>
    <sheetView zoomScale="90" zoomScaleNormal="90" workbookViewId="0">
      <selection activeCell="G32" sqref="G32"/>
    </sheetView>
  </sheetViews>
  <sheetFormatPr baseColWidth="10" defaultColWidth="11.5546875" defaultRowHeight="24.75" customHeight="1" x14ac:dyDescent="0.25"/>
  <cols>
    <col min="1" max="1" width="7.5546875" style="4" customWidth="1"/>
    <col min="2" max="2" width="43.33203125" style="4" customWidth="1"/>
    <col min="3" max="4" width="21.88671875" style="4" customWidth="1"/>
    <col min="5" max="5" width="16" style="36" bestFit="1" customWidth="1"/>
    <col min="6" max="6" width="4.88671875" style="4" customWidth="1"/>
    <col min="7" max="7" width="20.88671875" style="4" customWidth="1"/>
    <col min="8" max="8" width="36.33203125" style="4" customWidth="1"/>
    <col min="9" max="9" width="8.44140625" style="4" bestFit="1" customWidth="1"/>
    <col min="10" max="10" width="12.88671875" style="4" customWidth="1"/>
    <col min="11" max="11" width="16.5546875" style="4" bestFit="1" customWidth="1"/>
    <col min="12" max="16384" width="11.5546875" style="4"/>
  </cols>
  <sheetData>
    <row r="3" spans="2:8" ht="24.75" customHeight="1" x14ac:dyDescent="0.3">
      <c r="B3" s="585" t="s">
        <v>254</v>
      </c>
      <c r="C3" s="585"/>
      <c r="D3" s="585"/>
      <c r="E3" s="137"/>
    </row>
    <row r="4" spans="2:8" ht="24.75" customHeight="1" x14ac:dyDescent="0.3">
      <c r="B4" s="585" t="s">
        <v>255</v>
      </c>
      <c r="C4" s="585"/>
      <c r="D4" s="585"/>
      <c r="E4" s="137"/>
    </row>
    <row r="5" spans="2:8" ht="24.75" customHeight="1" x14ac:dyDescent="0.3">
      <c r="B5" s="585" t="s">
        <v>256</v>
      </c>
      <c r="C5" s="585"/>
      <c r="D5" s="585"/>
      <c r="E5" s="137"/>
    </row>
    <row r="6" spans="2:8" ht="24.75" customHeight="1" x14ac:dyDescent="0.3">
      <c r="B6" s="595">
        <v>45838</v>
      </c>
      <c r="C6" s="595"/>
      <c r="D6" s="595"/>
      <c r="E6" s="137"/>
    </row>
    <row r="7" spans="2:8" ht="24.75" customHeight="1" thickBot="1" x14ac:dyDescent="0.35">
      <c r="B7" s="139"/>
      <c r="C7" s="139"/>
      <c r="D7" s="139"/>
      <c r="E7" s="140"/>
    </row>
    <row r="8" spans="2:8" ht="24.75" customHeight="1" thickBot="1" x14ac:dyDescent="0.35">
      <c r="B8" s="141" t="s">
        <v>241</v>
      </c>
      <c r="C8" s="142" t="s">
        <v>257</v>
      </c>
      <c r="D8" s="143" t="s">
        <v>258</v>
      </c>
      <c r="G8" s="144"/>
    </row>
    <row r="9" spans="2:8" ht="15.75" hidden="1" customHeight="1" x14ac:dyDescent="0.25">
      <c r="B9" s="145" t="s">
        <v>259</v>
      </c>
      <c r="C9" s="146"/>
      <c r="D9" s="147">
        <v>0</v>
      </c>
    </row>
    <row r="10" spans="2:8" ht="24.75" customHeight="1" x14ac:dyDescent="0.25">
      <c r="B10" s="145" t="s">
        <v>260</v>
      </c>
      <c r="C10" s="146"/>
      <c r="D10" s="148">
        <v>200000</v>
      </c>
    </row>
    <row r="11" spans="2:8" ht="24.75" customHeight="1" x14ac:dyDescent="0.25">
      <c r="B11" s="149" t="s">
        <v>261</v>
      </c>
      <c r="C11" s="150"/>
      <c r="D11" s="151">
        <v>406056492.35000002</v>
      </c>
      <c r="G11" s="152">
        <v>200000</v>
      </c>
      <c r="H11" s="153"/>
    </row>
    <row r="12" spans="2:8" ht="24.75" customHeight="1" x14ac:dyDescent="0.25">
      <c r="B12" s="149" t="s">
        <v>262</v>
      </c>
      <c r="C12" s="150"/>
      <c r="D12" s="151">
        <v>46506.34</v>
      </c>
      <c r="G12" s="154">
        <v>406056492.35000002</v>
      </c>
    </row>
    <row r="13" spans="2:8" ht="24.75" customHeight="1" x14ac:dyDescent="0.25">
      <c r="B13" s="149" t="s">
        <v>263</v>
      </c>
      <c r="C13" s="155">
        <v>58.4</v>
      </c>
      <c r="D13" s="156">
        <v>17547.310000000001</v>
      </c>
      <c r="G13" s="154">
        <v>46506.34</v>
      </c>
    </row>
    <row r="14" spans="2:8" ht="24.75" customHeight="1" x14ac:dyDescent="0.4">
      <c r="B14" s="149" t="s">
        <v>264</v>
      </c>
      <c r="C14" s="150"/>
      <c r="D14" s="157">
        <f>+D13*57.4+0.01</f>
        <v>1007215.6040000001</v>
      </c>
      <c r="G14" s="154"/>
    </row>
    <row r="15" spans="2:8" ht="24.75" customHeight="1" x14ac:dyDescent="0.45">
      <c r="B15" s="158" t="s">
        <v>244</v>
      </c>
      <c r="C15" s="159"/>
      <c r="D15" s="160">
        <f>SUM(D9:D14)</f>
        <v>407327761.60399997</v>
      </c>
      <c r="G15" s="154">
        <v>17547.310000000001</v>
      </c>
    </row>
    <row r="16" spans="2:8" ht="24.75" customHeight="1" thickBot="1" x14ac:dyDescent="0.3">
      <c r="B16" s="161"/>
      <c r="C16" s="162"/>
      <c r="D16" s="163"/>
      <c r="G16" s="154">
        <v>1007215.6</v>
      </c>
    </row>
    <row r="17" spans="2:7" ht="24.75" customHeight="1" x14ac:dyDescent="0.25">
      <c r="D17" s="164"/>
      <c r="G17" s="165">
        <f>SUM(G11:G16)</f>
        <v>407327761.60000002</v>
      </c>
    </row>
    <row r="18" spans="2:7" ht="24.75" hidden="1" customHeight="1" x14ac:dyDescent="0.25">
      <c r="D18" s="95"/>
    </row>
    <row r="19" spans="2:7" ht="24.75" hidden="1" customHeight="1" x14ac:dyDescent="0.25">
      <c r="C19" s="592" t="s">
        <v>265</v>
      </c>
      <c r="D19" s="164">
        <f>+D13</f>
        <v>17547.310000000001</v>
      </c>
    </row>
    <row r="20" spans="2:7" ht="24.75" hidden="1" customHeight="1" x14ac:dyDescent="0.25">
      <c r="C20" s="593"/>
      <c r="D20" s="166" t="s">
        <v>266</v>
      </c>
    </row>
    <row r="21" spans="2:7" ht="24.75" hidden="1" customHeight="1" x14ac:dyDescent="0.25">
      <c r="C21" s="594"/>
      <c r="D21" s="50">
        <f>+D19*57.5</f>
        <v>1008970.3250000001</v>
      </c>
    </row>
    <row r="22" spans="2:7" ht="24.75" hidden="1" customHeight="1" x14ac:dyDescent="0.25">
      <c r="D22" s="167"/>
    </row>
    <row r="23" spans="2:7" ht="24.75" hidden="1" customHeight="1" x14ac:dyDescent="0.25">
      <c r="C23" s="592" t="s">
        <v>267</v>
      </c>
      <c r="D23" s="168">
        <v>14152.03</v>
      </c>
    </row>
    <row r="24" spans="2:7" ht="24.75" hidden="1" customHeight="1" x14ac:dyDescent="0.4">
      <c r="C24" s="593"/>
      <c r="D24" s="169">
        <v>798174.51</v>
      </c>
    </row>
    <row r="25" spans="2:7" ht="24.75" hidden="1" customHeight="1" x14ac:dyDescent="0.25">
      <c r="C25" s="594"/>
      <c r="D25" s="164">
        <f>SUM(D23:D24)</f>
        <v>812326.54</v>
      </c>
    </row>
    <row r="26" spans="2:7" ht="24.75" hidden="1" customHeight="1" x14ac:dyDescent="0.25">
      <c r="D26" s="167"/>
    </row>
    <row r="27" spans="2:7" ht="24.75" hidden="1" customHeight="1" x14ac:dyDescent="0.25">
      <c r="C27" s="592" t="s">
        <v>268</v>
      </c>
      <c r="D27" s="164">
        <f>+D21</f>
        <v>1008970.3250000001</v>
      </c>
    </row>
    <row r="28" spans="2:7" ht="24.75" hidden="1" customHeight="1" x14ac:dyDescent="0.25">
      <c r="C28" s="593"/>
      <c r="D28" s="164">
        <f>-D25</f>
        <v>-812326.54</v>
      </c>
    </row>
    <row r="29" spans="2:7" ht="24.75" hidden="1" customHeight="1" thickBot="1" x14ac:dyDescent="0.35">
      <c r="C29" s="594"/>
      <c r="D29" s="170">
        <f>SUM(D27:D28)</f>
        <v>196643.78500000003</v>
      </c>
    </row>
    <row r="30" spans="2:7" ht="24.75" hidden="1" customHeight="1" thickTop="1" x14ac:dyDescent="0.25">
      <c r="D30" s="167"/>
      <c r="E30" s="6"/>
    </row>
    <row r="31" spans="2:7" ht="24.75" customHeight="1" x14ac:dyDescent="0.25">
      <c r="B31" s="171"/>
      <c r="C31" s="172"/>
      <c r="E31" s="173"/>
      <c r="F31" s="173"/>
      <c r="G31" s="173"/>
    </row>
    <row r="32" spans="2:7" ht="24.75" customHeight="1" x14ac:dyDescent="0.25">
      <c r="B32" s="171"/>
      <c r="C32" s="172"/>
      <c r="E32" s="173"/>
      <c r="F32" s="173"/>
      <c r="G32" s="173">
        <f>+D15-G17</f>
        <v>3.9999485015869141E-3</v>
      </c>
    </row>
    <row r="33" spans="2:7" ht="24.75" customHeight="1" x14ac:dyDescent="0.25">
      <c r="B33" s="171"/>
      <c r="C33" s="172"/>
      <c r="E33" s="174"/>
      <c r="F33" s="174"/>
      <c r="G33" s="174"/>
    </row>
    <row r="34" spans="2:7" ht="24.75" customHeight="1" x14ac:dyDescent="0.25">
      <c r="B34" s="171"/>
      <c r="C34" s="172"/>
      <c r="D34" s="174"/>
      <c r="E34" s="174"/>
      <c r="F34" s="174"/>
      <c r="G34" s="174"/>
    </row>
    <row r="35" spans="2:7" ht="24.75" customHeight="1" x14ac:dyDescent="0.25">
      <c r="B35" s="171"/>
      <c r="C35" s="172"/>
      <c r="D35" s="174"/>
      <c r="E35" s="174"/>
      <c r="F35" s="174"/>
      <c r="G35" s="174"/>
    </row>
    <row r="36" spans="2:7" ht="24.75" customHeight="1" x14ac:dyDescent="0.25">
      <c r="B36" s="171"/>
      <c r="C36" s="172"/>
      <c r="D36" s="173"/>
      <c r="E36" s="174"/>
      <c r="F36" s="174"/>
      <c r="G36" s="173"/>
    </row>
    <row r="37" spans="2:7" ht="24.75" customHeight="1" x14ac:dyDescent="0.25">
      <c r="B37" s="171"/>
      <c r="C37" s="172"/>
      <c r="D37" s="173"/>
      <c r="E37" s="174"/>
      <c r="F37" s="174"/>
      <c r="G37" s="173"/>
    </row>
    <row r="38" spans="2:7" ht="24.75" customHeight="1" x14ac:dyDescent="0.25">
      <c r="B38" s="171"/>
      <c r="C38" s="172"/>
      <c r="D38" s="173"/>
      <c r="E38" s="174"/>
      <c r="F38" s="174"/>
      <c r="G38" s="173"/>
    </row>
  </sheetData>
  <mergeCells count="7">
    <mergeCell ref="C23:C25"/>
    <mergeCell ref="C27:C29"/>
    <mergeCell ref="B3:D3"/>
    <mergeCell ref="B4:D4"/>
    <mergeCell ref="B5:D5"/>
    <mergeCell ref="B6:D6"/>
    <mergeCell ref="C19:C21"/>
  </mergeCells>
  <pageMargins left="0.59055118110236227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11"/>
  <sheetViews>
    <sheetView topLeftCell="A4" zoomScale="90" zoomScaleNormal="90" zoomScaleSheetLayoutView="90" workbookViewId="0">
      <selection activeCell="G32" sqref="G32"/>
    </sheetView>
  </sheetViews>
  <sheetFormatPr baseColWidth="10" defaultColWidth="11.5546875" defaultRowHeight="24.75" customHeight="1" x14ac:dyDescent="0.25"/>
  <cols>
    <col min="1" max="1" width="5.5546875" style="4" customWidth="1"/>
    <col min="2" max="2" width="37.109375" style="4" customWidth="1"/>
    <col min="3" max="3" width="20.6640625" style="4" hidden="1" customWidth="1"/>
    <col min="4" max="4" width="19.5546875" style="4" hidden="1" customWidth="1"/>
    <col min="5" max="5" width="25" style="4" bestFit="1" customWidth="1"/>
    <col min="6" max="6" width="7.109375" style="4" customWidth="1"/>
    <col min="7" max="7" width="6.5546875" style="4" customWidth="1"/>
    <col min="8" max="8" width="20.5546875" style="4" bestFit="1" customWidth="1"/>
    <col min="9" max="9" width="8.44140625" style="4" bestFit="1" customWidth="1"/>
    <col min="10" max="10" width="20.5546875" style="4" bestFit="1" customWidth="1"/>
    <col min="11" max="11" width="16.5546875" style="4" bestFit="1" customWidth="1"/>
    <col min="12" max="16384" width="11.5546875" style="4"/>
  </cols>
  <sheetData>
    <row r="2" spans="2:10" ht="24.75" customHeight="1" x14ac:dyDescent="0.25">
      <c r="E2" s="33"/>
    </row>
    <row r="3" spans="2:10" ht="24.75" customHeight="1" x14ac:dyDescent="0.3">
      <c r="B3" s="585" t="s">
        <v>269</v>
      </c>
      <c r="C3" s="585"/>
      <c r="D3" s="585"/>
      <c r="E3" s="585"/>
    </row>
    <row r="4" spans="2:10" ht="24.75" customHeight="1" x14ac:dyDescent="0.3">
      <c r="B4" s="585" t="s">
        <v>255</v>
      </c>
      <c r="C4" s="585"/>
      <c r="D4" s="585"/>
      <c r="E4" s="585"/>
    </row>
    <row r="5" spans="2:10" ht="24.75" customHeight="1" x14ac:dyDescent="0.3">
      <c r="B5" s="585" t="s">
        <v>270</v>
      </c>
      <c r="C5" s="585"/>
      <c r="D5" s="585"/>
      <c r="E5" s="585"/>
    </row>
    <row r="6" spans="2:10" ht="24.75" customHeight="1" x14ac:dyDescent="0.3">
      <c r="B6" s="595">
        <v>45838</v>
      </c>
      <c r="C6" s="595"/>
      <c r="D6" s="595"/>
      <c r="E6" s="595"/>
    </row>
    <row r="7" spans="2:10" ht="24.75" customHeight="1" thickBot="1" x14ac:dyDescent="0.35">
      <c r="B7" s="139"/>
      <c r="C7" s="139"/>
      <c r="D7" s="139"/>
      <c r="E7" s="35"/>
    </row>
    <row r="8" spans="2:10" ht="24.75" customHeight="1" thickBot="1" x14ac:dyDescent="0.35">
      <c r="B8" s="141" t="s">
        <v>241</v>
      </c>
      <c r="C8" s="142" t="s">
        <v>271</v>
      </c>
      <c r="D8" s="142" t="s">
        <v>257</v>
      </c>
      <c r="E8" s="143" t="s">
        <v>258</v>
      </c>
    </row>
    <row r="9" spans="2:10" ht="24.75" hidden="1" customHeight="1" x14ac:dyDescent="0.25">
      <c r="B9" s="175" t="s">
        <v>272</v>
      </c>
      <c r="C9" s="176">
        <v>0</v>
      </c>
      <c r="D9" s="176">
        <v>0</v>
      </c>
      <c r="E9" s="177"/>
      <c r="G9" s="25"/>
    </row>
    <row r="10" spans="2:10" ht="24.75" customHeight="1" x14ac:dyDescent="0.25">
      <c r="B10" s="175" t="s">
        <v>273</v>
      </c>
      <c r="C10" s="176"/>
      <c r="D10" s="176"/>
      <c r="E10" s="177">
        <v>553433654.22000003</v>
      </c>
      <c r="G10" s="25"/>
    </row>
    <row r="11" spans="2:10" ht="24.75" customHeight="1" x14ac:dyDescent="0.4">
      <c r="B11" s="175" t="s">
        <v>709</v>
      </c>
      <c r="C11" s="176"/>
      <c r="D11" s="176"/>
      <c r="E11" s="178">
        <v>627766941.04999995</v>
      </c>
      <c r="G11" s="25"/>
    </row>
    <row r="12" spans="2:10" ht="25.5" customHeight="1" x14ac:dyDescent="0.45">
      <c r="B12" s="158" t="s">
        <v>274</v>
      </c>
      <c r="C12" s="179" t="e">
        <f>SUM(#REF!)</f>
        <v>#REF!</v>
      </c>
      <c r="D12" s="180"/>
      <c r="E12" s="181">
        <f>SUM(E10:E11)</f>
        <v>1181200595.27</v>
      </c>
      <c r="G12" s="182"/>
      <c r="H12" s="183"/>
    </row>
    <row r="13" spans="2:10" ht="3.75" customHeight="1" thickBot="1" x14ac:dyDescent="0.35">
      <c r="B13" s="184"/>
      <c r="C13" s="185"/>
      <c r="D13" s="185"/>
      <c r="E13" s="186"/>
      <c r="G13" s="36"/>
    </row>
    <row r="14" spans="2:10" ht="24.75" customHeight="1" x14ac:dyDescent="0.3">
      <c r="B14" s="47"/>
      <c r="C14" s="187"/>
      <c r="D14" s="187"/>
      <c r="G14" s="36"/>
      <c r="H14" s="25"/>
      <c r="J14" s="25"/>
    </row>
    <row r="15" spans="2:10" ht="24.75" customHeight="1" x14ac:dyDescent="0.25">
      <c r="E15" s="173"/>
      <c r="G15" s="25"/>
      <c r="H15" s="25"/>
      <c r="J15" s="25"/>
    </row>
    <row r="16" spans="2:10" ht="24.75" customHeight="1" x14ac:dyDescent="0.25">
      <c r="E16" s="173"/>
      <c r="G16" s="25"/>
      <c r="H16" s="25"/>
    </row>
    <row r="17" spans="3:8" ht="24.75" customHeight="1" x14ac:dyDescent="0.25">
      <c r="C17" s="36"/>
      <c r="D17" s="188"/>
      <c r="E17" s="189"/>
      <c r="G17" s="25"/>
      <c r="H17" s="25"/>
    </row>
    <row r="18" spans="3:8" ht="24.75" hidden="1" customHeight="1" x14ac:dyDescent="0.4">
      <c r="C18" s="36"/>
      <c r="D18" s="190"/>
      <c r="E18" s="191"/>
      <c r="G18" s="25"/>
      <c r="H18" s="25"/>
    </row>
    <row r="19" spans="3:8" ht="24.75" customHeight="1" x14ac:dyDescent="0.45">
      <c r="C19" s="192"/>
      <c r="D19" s="51"/>
      <c r="E19" s="182"/>
      <c r="G19" s="25"/>
      <c r="H19" s="25"/>
    </row>
    <row r="20" spans="3:8" ht="24.75" customHeight="1" x14ac:dyDescent="0.3">
      <c r="C20" s="37"/>
      <c r="D20" s="51"/>
      <c r="E20" s="113"/>
      <c r="H20" s="25"/>
    </row>
    <row r="21" spans="3:8" ht="24.75" customHeight="1" x14ac:dyDescent="0.25">
      <c r="C21" s="37"/>
      <c r="D21" s="51"/>
      <c r="E21" s="51"/>
      <c r="H21" s="25"/>
    </row>
    <row r="22" spans="3:8" ht="24.75" customHeight="1" x14ac:dyDescent="0.25">
      <c r="C22" s="37"/>
      <c r="D22" s="37"/>
      <c r="E22" s="37"/>
      <c r="H22" s="25"/>
    </row>
    <row r="23" spans="3:8" ht="24.75" customHeight="1" x14ac:dyDescent="0.25">
      <c r="C23" s="37"/>
      <c r="D23" s="37"/>
      <c r="E23" s="37"/>
      <c r="H23" s="25"/>
    </row>
    <row r="24" spans="3:8" ht="24.75" customHeight="1" x14ac:dyDescent="0.25">
      <c r="C24" s="37"/>
      <c r="D24" s="37"/>
      <c r="E24" s="37"/>
      <c r="H24" s="25"/>
    </row>
    <row r="25" spans="3:8" ht="24.75" customHeight="1" x14ac:dyDescent="0.25">
      <c r="C25" s="37"/>
      <c r="D25" s="37"/>
      <c r="E25" s="37"/>
      <c r="H25" s="25"/>
    </row>
    <row r="26" spans="3:8" ht="24.75" customHeight="1" x14ac:dyDescent="0.25">
      <c r="C26" s="37"/>
      <c r="D26" s="37"/>
      <c r="E26" s="37"/>
      <c r="H26" s="25"/>
    </row>
    <row r="27" spans="3:8" ht="24.75" customHeight="1" x14ac:dyDescent="0.25">
      <c r="C27" s="37"/>
      <c r="D27" s="37"/>
      <c r="E27" s="37"/>
      <c r="H27" s="25"/>
    </row>
    <row r="28" spans="3:8" ht="24.75" customHeight="1" x14ac:dyDescent="0.25">
      <c r="C28" s="37"/>
      <c r="D28" s="37"/>
      <c r="E28" s="37"/>
      <c r="H28" s="25"/>
    </row>
    <row r="29" spans="3:8" ht="24.75" customHeight="1" x14ac:dyDescent="0.25">
      <c r="C29" s="37"/>
      <c r="D29" s="37"/>
      <c r="E29" s="37"/>
      <c r="H29" s="25"/>
    </row>
    <row r="30" spans="3:8" ht="24.75" customHeight="1" x14ac:dyDescent="0.25">
      <c r="C30" s="37"/>
      <c r="D30" s="37"/>
      <c r="E30" s="37"/>
      <c r="H30" s="25"/>
    </row>
    <row r="31" spans="3:8" ht="24.75" customHeight="1" x14ac:dyDescent="0.25">
      <c r="C31" s="37"/>
      <c r="D31" s="37"/>
      <c r="E31" s="37"/>
      <c r="H31" s="25"/>
    </row>
    <row r="32" spans="3:8" ht="24.75" customHeight="1" x14ac:dyDescent="0.25">
      <c r="C32" s="37"/>
      <c r="D32" s="37"/>
      <c r="E32" s="37"/>
    </row>
    <row r="33" spans="3:5" ht="24.75" customHeight="1" x14ac:dyDescent="0.25">
      <c r="C33" s="37"/>
      <c r="D33" s="37"/>
      <c r="E33" s="37"/>
    </row>
    <row r="34" spans="3:5" ht="24.75" customHeight="1" x14ac:dyDescent="0.25">
      <c r="C34" s="37"/>
      <c r="D34" s="37"/>
      <c r="E34" s="37"/>
    </row>
    <row r="35" spans="3:5" ht="24.75" customHeight="1" x14ac:dyDescent="0.25">
      <c r="C35" s="37"/>
      <c r="D35" s="37"/>
      <c r="E35" s="37"/>
    </row>
    <row r="36" spans="3:5" ht="24.75" customHeight="1" x14ac:dyDescent="0.25">
      <c r="C36" s="37"/>
      <c r="D36" s="37"/>
      <c r="E36" s="37"/>
    </row>
    <row r="37" spans="3:5" ht="24.75" customHeight="1" x14ac:dyDescent="0.25">
      <c r="C37" s="37"/>
      <c r="D37" s="37"/>
      <c r="E37" s="37"/>
    </row>
    <row r="38" spans="3:5" ht="24.75" customHeight="1" x14ac:dyDescent="0.25">
      <c r="C38" s="37"/>
      <c r="D38" s="37"/>
      <c r="E38" s="37"/>
    </row>
    <row r="39" spans="3:5" ht="24.75" customHeight="1" x14ac:dyDescent="0.25">
      <c r="C39" s="37"/>
      <c r="D39" s="37"/>
      <c r="E39" s="37"/>
    </row>
    <row r="40" spans="3:5" ht="24.75" customHeight="1" x14ac:dyDescent="0.25">
      <c r="C40" s="37"/>
      <c r="D40" s="37"/>
      <c r="E40" s="37"/>
    </row>
    <row r="41" spans="3:5" ht="24.75" customHeight="1" x14ac:dyDescent="0.25">
      <c r="C41" s="37"/>
      <c r="D41" s="37"/>
      <c r="E41" s="37"/>
    </row>
    <row r="42" spans="3:5" ht="24.75" customHeight="1" x14ac:dyDescent="0.25">
      <c r="C42" s="37"/>
      <c r="D42" s="37"/>
      <c r="E42" s="37"/>
    </row>
    <row r="43" spans="3:5" ht="24.75" customHeight="1" x14ac:dyDescent="0.25">
      <c r="C43" s="37"/>
      <c r="D43" s="37"/>
      <c r="E43" s="37"/>
    </row>
    <row r="44" spans="3:5" ht="24.75" customHeight="1" x14ac:dyDescent="0.25">
      <c r="C44" s="37"/>
      <c r="D44" s="37"/>
      <c r="E44" s="37"/>
    </row>
    <row r="45" spans="3:5" ht="24.75" customHeight="1" x14ac:dyDescent="0.25">
      <c r="C45" s="37"/>
      <c r="D45" s="37"/>
      <c r="E45" s="37"/>
    </row>
    <row r="46" spans="3:5" ht="24.75" customHeight="1" x14ac:dyDescent="0.25">
      <c r="C46" s="37"/>
      <c r="D46" s="37"/>
      <c r="E46" s="37"/>
    </row>
    <row r="47" spans="3:5" ht="24.75" customHeight="1" x14ac:dyDescent="0.25">
      <c r="C47" s="37"/>
      <c r="D47" s="37"/>
      <c r="E47" s="37"/>
    </row>
    <row r="48" spans="3:5" ht="24.75" customHeight="1" x14ac:dyDescent="0.25">
      <c r="C48" s="37"/>
      <c r="D48" s="37"/>
      <c r="E48" s="37"/>
    </row>
    <row r="49" spans="3:5" ht="24.75" customHeight="1" x14ac:dyDescent="0.25">
      <c r="C49" s="37"/>
      <c r="D49" s="37"/>
      <c r="E49" s="37"/>
    </row>
    <row r="50" spans="3:5" ht="24.75" customHeight="1" x14ac:dyDescent="0.25">
      <c r="C50" s="37"/>
      <c r="D50" s="37"/>
      <c r="E50" s="37"/>
    </row>
    <row r="51" spans="3:5" ht="24.75" customHeight="1" x14ac:dyDescent="0.25">
      <c r="C51" s="37"/>
      <c r="D51" s="37"/>
      <c r="E51" s="37"/>
    </row>
    <row r="52" spans="3:5" ht="24.75" customHeight="1" x14ac:dyDescent="0.25">
      <c r="C52" s="37"/>
      <c r="D52" s="37"/>
      <c r="E52" s="37"/>
    </row>
    <row r="53" spans="3:5" ht="24.75" customHeight="1" x14ac:dyDescent="0.25">
      <c r="C53" s="37"/>
      <c r="D53" s="37"/>
      <c r="E53" s="37"/>
    </row>
    <row r="54" spans="3:5" ht="24.75" customHeight="1" x14ac:dyDescent="0.25">
      <c r="C54" s="37"/>
      <c r="D54" s="37"/>
      <c r="E54" s="37"/>
    </row>
    <row r="55" spans="3:5" ht="24.75" customHeight="1" x14ac:dyDescent="0.25">
      <c r="C55" s="37"/>
      <c r="D55" s="37"/>
      <c r="E55" s="37"/>
    </row>
    <row r="56" spans="3:5" ht="24.75" customHeight="1" x14ac:dyDescent="0.25">
      <c r="C56" s="37"/>
      <c r="D56" s="37"/>
      <c r="E56" s="37"/>
    </row>
    <row r="57" spans="3:5" ht="24.75" customHeight="1" x14ac:dyDescent="0.25">
      <c r="C57" s="37"/>
      <c r="D57" s="37"/>
      <c r="E57" s="37"/>
    </row>
    <row r="58" spans="3:5" ht="24.75" customHeight="1" x14ac:dyDescent="0.25">
      <c r="C58" s="37"/>
      <c r="D58" s="37"/>
      <c r="E58" s="37"/>
    </row>
    <row r="59" spans="3:5" ht="24.75" customHeight="1" x14ac:dyDescent="0.25">
      <c r="C59" s="37"/>
      <c r="D59" s="37"/>
      <c r="E59" s="37"/>
    </row>
    <row r="60" spans="3:5" ht="24.75" customHeight="1" x14ac:dyDescent="0.25">
      <c r="C60" s="37"/>
      <c r="D60" s="37"/>
      <c r="E60" s="37"/>
    </row>
    <row r="61" spans="3:5" ht="24.75" customHeight="1" x14ac:dyDescent="0.25">
      <c r="C61" s="37"/>
      <c r="D61" s="37"/>
      <c r="E61" s="37"/>
    </row>
    <row r="62" spans="3:5" ht="24.75" customHeight="1" x14ac:dyDescent="0.25">
      <c r="C62" s="37"/>
      <c r="D62" s="37"/>
      <c r="E62" s="37"/>
    </row>
    <row r="63" spans="3:5" ht="24.75" customHeight="1" x14ac:dyDescent="0.25">
      <c r="C63" s="37"/>
      <c r="D63" s="37"/>
      <c r="E63" s="37"/>
    </row>
    <row r="64" spans="3:5" ht="24.75" customHeight="1" x14ac:dyDescent="0.25">
      <c r="C64" s="37"/>
      <c r="D64" s="37"/>
      <c r="E64" s="37"/>
    </row>
    <row r="65" spans="3:5" ht="24.75" customHeight="1" x14ac:dyDescent="0.25">
      <c r="C65" s="37"/>
      <c r="D65" s="37"/>
      <c r="E65" s="37"/>
    </row>
    <row r="66" spans="3:5" ht="24.75" customHeight="1" x14ac:dyDescent="0.25">
      <c r="C66" s="37"/>
      <c r="D66" s="37"/>
      <c r="E66" s="37"/>
    </row>
    <row r="67" spans="3:5" ht="24.75" customHeight="1" x14ac:dyDescent="0.25">
      <c r="C67" s="37"/>
      <c r="D67" s="37"/>
      <c r="E67" s="37"/>
    </row>
    <row r="68" spans="3:5" ht="24.75" customHeight="1" x14ac:dyDescent="0.25">
      <c r="C68" s="37"/>
      <c r="D68" s="37"/>
      <c r="E68" s="37"/>
    </row>
    <row r="69" spans="3:5" ht="24.75" customHeight="1" x14ac:dyDescent="0.25">
      <c r="C69" s="37"/>
      <c r="D69" s="37"/>
      <c r="E69" s="37"/>
    </row>
    <row r="70" spans="3:5" ht="24.75" customHeight="1" x14ac:dyDescent="0.25">
      <c r="C70" s="37"/>
      <c r="D70" s="37"/>
      <c r="E70" s="37"/>
    </row>
    <row r="71" spans="3:5" ht="24.75" customHeight="1" x14ac:dyDescent="0.25">
      <c r="C71" s="37"/>
      <c r="D71" s="37"/>
      <c r="E71" s="37"/>
    </row>
    <row r="72" spans="3:5" ht="24.75" customHeight="1" x14ac:dyDescent="0.25">
      <c r="C72" s="37"/>
      <c r="D72" s="37"/>
      <c r="E72" s="37"/>
    </row>
    <row r="73" spans="3:5" ht="24.75" customHeight="1" x14ac:dyDescent="0.25">
      <c r="C73" s="37"/>
      <c r="D73" s="37"/>
      <c r="E73" s="37"/>
    </row>
    <row r="74" spans="3:5" ht="24.75" customHeight="1" x14ac:dyDescent="0.25">
      <c r="C74" s="37"/>
      <c r="D74" s="37"/>
      <c r="E74" s="37"/>
    </row>
    <row r="75" spans="3:5" ht="24.75" customHeight="1" x14ac:dyDescent="0.25">
      <c r="C75" s="37"/>
      <c r="D75" s="37"/>
      <c r="E75" s="37"/>
    </row>
    <row r="76" spans="3:5" ht="24.75" customHeight="1" x14ac:dyDescent="0.25">
      <c r="C76" s="37"/>
      <c r="D76" s="37"/>
      <c r="E76" s="37"/>
    </row>
    <row r="77" spans="3:5" ht="24.75" customHeight="1" x14ac:dyDescent="0.25">
      <c r="C77" s="37"/>
      <c r="D77" s="37"/>
      <c r="E77" s="37"/>
    </row>
    <row r="78" spans="3:5" ht="24.75" customHeight="1" x14ac:dyDescent="0.25">
      <c r="C78" s="37"/>
      <c r="D78" s="37"/>
      <c r="E78" s="37"/>
    </row>
    <row r="79" spans="3:5" ht="24.75" customHeight="1" x14ac:dyDescent="0.25">
      <c r="C79" s="37"/>
      <c r="D79" s="37"/>
      <c r="E79" s="37"/>
    </row>
    <row r="80" spans="3:5" ht="24.75" customHeight="1" x14ac:dyDescent="0.25">
      <c r="C80" s="37"/>
      <c r="D80" s="37"/>
      <c r="E80" s="37"/>
    </row>
    <row r="81" spans="3:5" ht="24.75" customHeight="1" x14ac:dyDescent="0.25">
      <c r="C81" s="37"/>
      <c r="D81" s="37"/>
      <c r="E81" s="37"/>
    </row>
    <row r="82" spans="3:5" ht="24.75" customHeight="1" x14ac:dyDescent="0.25">
      <c r="C82" s="37"/>
      <c r="D82" s="37"/>
      <c r="E82" s="37"/>
    </row>
    <row r="83" spans="3:5" ht="24.75" customHeight="1" x14ac:dyDescent="0.25">
      <c r="C83" s="37"/>
      <c r="D83" s="37"/>
      <c r="E83" s="37"/>
    </row>
    <row r="84" spans="3:5" ht="24.75" customHeight="1" x14ac:dyDescent="0.25">
      <c r="C84" s="37"/>
      <c r="D84" s="37"/>
      <c r="E84" s="37"/>
    </row>
    <row r="85" spans="3:5" ht="24.75" customHeight="1" x14ac:dyDescent="0.25">
      <c r="C85" s="37"/>
      <c r="D85" s="37"/>
      <c r="E85" s="37"/>
    </row>
    <row r="86" spans="3:5" ht="24.75" customHeight="1" x14ac:dyDescent="0.25">
      <c r="C86" s="37"/>
      <c r="D86" s="37"/>
      <c r="E86" s="37"/>
    </row>
    <row r="87" spans="3:5" ht="24.75" customHeight="1" x14ac:dyDescent="0.25">
      <c r="C87" s="37"/>
      <c r="D87" s="37"/>
      <c r="E87" s="37"/>
    </row>
    <row r="88" spans="3:5" ht="24.75" customHeight="1" x14ac:dyDescent="0.25">
      <c r="C88" s="37"/>
      <c r="D88" s="37"/>
      <c r="E88" s="37"/>
    </row>
    <row r="89" spans="3:5" ht="24.75" customHeight="1" x14ac:dyDescent="0.25">
      <c r="C89" s="37"/>
      <c r="D89" s="37"/>
      <c r="E89" s="37"/>
    </row>
    <row r="90" spans="3:5" ht="24.75" customHeight="1" x14ac:dyDescent="0.25">
      <c r="C90" s="37"/>
      <c r="D90" s="37"/>
      <c r="E90" s="37"/>
    </row>
    <row r="91" spans="3:5" ht="24.75" customHeight="1" x14ac:dyDescent="0.25">
      <c r="C91" s="37"/>
      <c r="D91" s="37"/>
      <c r="E91" s="37"/>
    </row>
    <row r="92" spans="3:5" ht="24.75" customHeight="1" x14ac:dyDescent="0.25">
      <c r="C92" s="37"/>
      <c r="D92" s="37"/>
      <c r="E92" s="37"/>
    </row>
    <row r="93" spans="3:5" ht="24.75" customHeight="1" x14ac:dyDescent="0.25">
      <c r="C93" s="37"/>
      <c r="D93" s="37"/>
      <c r="E93" s="37"/>
    </row>
    <row r="94" spans="3:5" ht="24.75" customHeight="1" x14ac:dyDescent="0.25">
      <c r="C94" s="37"/>
      <c r="D94" s="37"/>
      <c r="E94" s="37"/>
    </row>
    <row r="95" spans="3:5" ht="24.75" customHeight="1" x14ac:dyDescent="0.25">
      <c r="C95" s="37"/>
      <c r="D95" s="37"/>
      <c r="E95" s="37"/>
    </row>
    <row r="96" spans="3:5" ht="24.75" customHeight="1" x14ac:dyDescent="0.25">
      <c r="C96" s="37"/>
      <c r="D96" s="37"/>
      <c r="E96" s="37"/>
    </row>
    <row r="97" spans="3:5" ht="24.75" customHeight="1" x14ac:dyDescent="0.25">
      <c r="C97" s="37"/>
      <c r="D97" s="37"/>
      <c r="E97" s="37"/>
    </row>
    <row r="98" spans="3:5" ht="24.75" customHeight="1" x14ac:dyDescent="0.25">
      <c r="C98" s="37"/>
      <c r="D98" s="37"/>
      <c r="E98" s="37"/>
    </row>
    <row r="99" spans="3:5" ht="24.75" customHeight="1" x14ac:dyDescent="0.25">
      <c r="C99" s="37"/>
      <c r="D99" s="37"/>
      <c r="E99" s="37"/>
    </row>
    <row r="100" spans="3:5" ht="24.75" customHeight="1" x14ac:dyDescent="0.25">
      <c r="C100" s="37"/>
      <c r="D100" s="37"/>
      <c r="E100" s="37"/>
    </row>
    <row r="101" spans="3:5" ht="24.75" customHeight="1" x14ac:dyDescent="0.25">
      <c r="C101" s="37"/>
      <c r="D101" s="37"/>
      <c r="E101" s="37"/>
    </row>
    <row r="102" spans="3:5" ht="24.75" customHeight="1" x14ac:dyDescent="0.25">
      <c r="C102" s="37"/>
      <c r="D102" s="37"/>
      <c r="E102" s="37"/>
    </row>
    <row r="103" spans="3:5" ht="24.75" customHeight="1" x14ac:dyDescent="0.25">
      <c r="C103" s="37"/>
      <c r="D103" s="37"/>
      <c r="E103" s="37"/>
    </row>
    <row r="104" spans="3:5" ht="24.75" customHeight="1" x14ac:dyDescent="0.25">
      <c r="C104" s="37"/>
      <c r="D104" s="37"/>
      <c r="E104" s="37"/>
    </row>
    <row r="105" spans="3:5" ht="24.75" customHeight="1" x14ac:dyDescent="0.25">
      <c r="C105" s="37"/>
      <c r="D105" s="37"/>
      <c r="E105" s="37"/>
    </row>
    <row r="106" spans="3:5" ht="24.75" customHeight="1" x14ac:dyDescent="0.25">
      <c r="C106" s="37"/>
      <c r="D106" s="37"/>
      <c r="E106" s="37"/>
    </row>
    <row r="107" spans="3:5" ht="24.75" customHeight="1" x14ac:dyDescent="0.25">
      <c r="C107" s="37"/>
      <c r="D107" s="37"/>
      <c r="E107" s="37"/>
    </row>
    <row r="108" spans="3:5" ht="24.75" customHeight="1" x14ac:dyDescent="0.25">
      <c r="C108" s="37"/>
      <c r="D108" s="37"/>
      <c r="E108" s="37"/>
    </row>
    <row r="109" spans="3:5" ht="24.75" customHeight="1" x14ac:dyDescent="0.25">
      <c r="C109" s="37"/>
      <c r="D109" s="37"/>
      <c r="E109" s="37"/>
    </row>
    <row r="110" spans="3:5" ht="24.75" customHeight="1" x14ac:dyDescent="0.25">
      <c r="C110" s="37"/>
      <c r="D110" s="37"/>
      <c r="E110" s="37"/>
    </row>
    <row r="111" spans="3:5" ht="24.75" customHeight="1" x14ac:dyDescent="0.25">
      <c r="C111" s="37"/>
      <c r="D111" s="37"/>
      <c r="E111" s="37"/>
    </row>
    <row r="112" spans="3:5" ht="24.75" customHeight="1" x14ac:dyDescent="0.25">
      <c r="C112" s="37"/>
      <c r="D112" s="37"/>
      <c r="E112" s="37"/>
    </row>
    <row r="113" spans="3:5" ht="24.75" customHeight="1" x14ac:dyDescent="0.25">
      <c r="C113" s="37"/>
      <c r="D113" s="37"/>
      <c r="E113" s="37"/>
    </row>
    <row r="114" spans="3:5" ht="24.75" customHeight="1" x14ac:dyDescent="0.25">
      <c r="C114" s="37"/>
      <c r="D114" s="37"/>
      <c r="E114" s="37"/>
    </row>
    <row r="115" spans="3:5" ht="24.75" customHeight="1" x14ac:dyDescent="0.25">
      <c r="C115" s="37"/>
      <c r="D115" s="37"/>
      <c r="E115" s="37"/>
    </row>
    <row r="116" spans="3:5" ht="24.75" customHeight="1" x14ac:dyDescent="0.25">
      <c r="C116" s="37"/>
      <c r="D116" s="37"/>
      <c r="E116" s="37"/>
    </row>
    <row r="117" spans="3:5" ht="24.75" customHeight="1" x14ac:dyDescent="0.25">
      <c r="C117" s="37"/>
      <c r="D117" s="37"/>
      <c r="E117" s="37"/>
    </row>
    <row r="118" spans="3:5" ht="24.75" customHeight="1" x14ac:dyDescent="0.25">
      <c r="C118" s="37"/>
      <c r="D118" s="37"/>
      <c r="E118" s="37"/>
    </row>
    <row r="119" spans="3:5" ht="24.75" customHeight="1" x14ac:dyDescent="0.25">
      <c r="C119" s="37"/>
      <c r="D119" s="37"/>
      <c r="E119" s="37"/>
    </row>
    <row r="120" spans="3:5" ht="24.75" customHeight="1" x14ac:dyDescent="0.25">
      <c r="C120" s="37"/>
      <c r="D120" s="37"/>
      <c r="E120" s="37"/>
    </row>
    <row r="121" spans="3:5" ht="24.75" customHeight="1" x14ac:dyDescent="0.25">
      <c r="C121" s="37"/>
      <c r="D121" s="37"/>
      <c r="E121" s="37"/>
    </row>
    <row r="122" spans="3:5" ht="24.75" customHeight="1" x14ac:dyDescent="0.25">
      <c r="C122" s="37"/>
      <c r="D122" s="37"/>
      <c r="E122" s="37"/>
    </row>
    <row r="123" spans="3:5" ht="24.75" customHeight="1" x14ac:dyDescent="0.25">
      <c r="C123" s="37"/>
      <c r="D123" s="37"/>
      <c r="E123" s="37"/>
    </row>
    <row r="124" spans="3:5" ht="24.75" customHeight="1" x14ac:dyDescent="0.25">
      <c r="C124" s="37"/>
      <c r="D124" s="37"/>
      <c r="E124" s="37"/>
    </row>
    <row r="125" spans="3:5" ht="24.75" customHeight="1" x14ac:dyDescent="0.25">
      <c r="C125" s="37"/>
      <c r="D125" s="37"/>
      <c r="E125" s="37"/>
    </row>
    <row r="126" spans="3:5" ht="24.75" customHeight="1" x14ac:dyDescent="0.25">
      <c r="C126" s="37"/>
      <c r="D126" s="37"/>
      <c r="E126" s="37"/>
    </row>
    <row r="127" spans="3:5" ht="24.75" customHeight="1" x14ac:dyDescent="0.25">
      <c r="C127" s="37"/>
      <c r="D127" s="37"/>
      <c r="E127" s="37"/>
    </row>
    <row r="128" spans="3:5" ht="24.75" customHeight="1" x14ac:dyDescent="0.25">
      <c r="C128" s="37"/>
      <c r="D128" s="37"/>
      <c r="E128" s="37"/>
    </row>
    <row r="129" spans="3:5" ht="24.75" customHeight="1" x14ac:dyDescent="0.25">
      <c r="C129" s="37"/>
      <c r="D129" s="37"/>
      <c r="E129" s="37"/>
    </row>
    <row r="130" spans="3:5" ht="24.75" customHeight="1" x14ac:dyDescent="0.25">
      <c r="C130" s="37"/>
      <c r="D130" s="37"/>
      <c r="E130" s="37"/>
    </row>
    <row r="131" spans="3:5" ht="24.75" customHeight="1" x14ac:dyDescent="0.25">
      <c r="C131" s="37"/>
      <c r="D131" s="37"/>
      <c r="E131" s="37"/>
    </row>
    <row r="132" spans="3:5" ht="24.75" customHeight="1" x14ac:dyDescent="0.25">
      <c r="C132" s="37"/>
      <c r="D132" s="37"/>
      <c r="E132" s="37"/>
    </row>
    <row r="133" spans="3:5" ht="24.75" customHeight="1" x14ac:dyDescent="0.25">
      <c r="C133" s="37"/>
      <c r="D133" s="37"/>
      <c r="E133" s="37"/>
    </row>
    <row r="134" spans="3:5" ht="24.75" customHeight="1" x14ac:dyDescent="0.25">
      <c r="C134" s="37"/>
      <c r="D134" s="37"/>
      <c r="E134" s="37"/>
    </row>
    <row r="135" spans="3:5" ht="24.75" customHeight="1" x14ac:dyDescent="0.25">
      <c r="C135" s="37"/>
      <c r="D135" s="37"/>
      <c r="E135" s="37"/>
    </row>
    <row r="136" spans="3:5" ht="24.75" customHeight="1" x14ac:dyDescent="0.25">
      <c r="C136" s="37"/>
      <c r="D136" s="37"/>
      <c r="E136" s="37"/>
    </row>
    <row r="137" spans="3:5" ht="24.75" customHeight="1" x14ac:dyDescent="0.25">
      <c r="C137" s="37"/>
      <c r="D137" s="37"/>
      <c r="E137" s="37"/>
    </row>
    <row r="138" spans="3:5" ht="24.75" customHeight="1" x14ac:dyDescent="0.25">
      <c r="C138" s="37"/>
      <c r="D138" s="37"/>
      <c r="E138" s="37"/>
    </row>
    <row r="139" spans="3:5" ht="24.75" customHeight="1" x14ac:dyDescent="0.25">
      <c r="C139" s="37"/>
      <c r="D139" s="37"/>
      <c r="E139" s="37"/>
    </row>
    <row r="140" spans="3:5" ht="24.75" customHeight="1" x14ac:dyDescent="0.25">
      <c r="C140" s="37"/>
      <c r="D140" s="37"/>
      <c r="E140" s="37"/>
    </row>
    <row r="141" spans="3:5" ht="24.75" customHeight="1" x14ac:dyDescent="0.25">
      <c r="C141" s="37"/>
      <c r="D141" s="37"/>
      <c r="E141" s="37"/>
    </row>
    <row r="142" spans="3:5" ht="24.75" customHeight="1" x14ac:dyDescent="0.25">
      <c r="C142" s="37"/>
      <c r="D142" s="37"/>
      <c r="E142" s="37"/>
    </row>
    <row r="143" spans="3:5" ht="24.75" customHeight="1" x14ac:dyDescent="0.25">
      <c r="C143" s="37"/>
      <c r="D143" s="37"/>
      <c r="E143" s="37"/>
    </row>
    <row r="144" spans="3:5" ht="24.75" customHeight="1" x14ac:dyDescent="0.25">
      <c r="C144" s="37"/>
      <c r="D144" s="37"/>
      <c r="E144" s="37"/>
    </row>
    <row r="145" spans="3:5" ht="24.75" customHeight="1" x14ac:dyDescent="0.25">
      <c r="C145" s="37"/>
      <c r="D145" s="37"/>
      <c r="E145" s="37"/>
    </row>
    <row r="146" spans="3:5" ht="24.75" customHeight="1" x14ac:dyDescent="0.25">
      <c r="C146" s="37"/>
      <c r="D146" s="37"/>
      <c r="E146" s="37"/>
    </row>
    <row r="147" spans="3:5" ht="24.75" customHeight="1" x14ac:dyDescent="0.25">
      <c r="C147" s="37"/>
      <c r="D147" s="37"/>
      <c r="E147" s="37"/>
    </row>
    <row r="148" spans="3:5" ht="24.75" customHeight="1" x14ac:dyDescent="0.25">
      <c r="C148" s="37"/>
      <c r="D148" s="37"/>
      <c r="E148" s="37"/>
    </row>
    <row r="149" spans="3:5" ht="24.75" customHeight="1" x14ac:dyDescent="0.25">
      <c r="C149" s="37"/>
      <c r="D149" s="37"/>
      <c r="E149" s="37"/>
    </row>
    <row r="150" spans="3:5" ht="24.75" customHeight="1" x14ac:dyDescent="0.25">
      <c r="C150" s="37"/>
      <c r="D150" s="37"/>
      <c r="E150" s="37"/>
    </row>
    <row r="151" spans="3:5" ht="24.75" customHeight="1" x14ac:dyDescent="0.25">
      <c r="C151" s="37"/>
      <c r="D151" s="37"/>
      <c r="E151" s="37"/>
    </row>
    <row r="152" spans="3:5" ht="24.75" customHeight="1" x14ac:dyDescent="0.25">
      <c r="C152" s="37"/>
      <c r="D152" s="37"/>
      <c r="E152" s="37"/>
    </row>
    <row r="153" spans="3:5" ht="24.75" customHeight="1" x14ac:dyDescent="0.25">
      <c r="C153" s="37"/>
      <c r="D153" s="37"/>
      <c r="E153" s="37"/>
    </row>
    <row r="154" spans="3:5" ht="24.75" customHeight="1" x14ac:dyDescent="0.25">
      <c r="C154" s="37"/>
      <c r="D154" s="37"/>
      <c r="E154" s="37"/>
    </row>
    <row r="155" spans="3:5" ht="24.75" customHeight="1" x14ac:dyDescent="0.25">
      <c r="C155" s="37"/>
      <c r="D155" s="37"/>
      <c r="E155" s="37"/>
    </row>
    <row r="156" spans="3:5" ht="24.75" customHeight="1" x14ac:dyDescent="0.25">
      <c r="C156" s="37"/>
      <c r="D156" s="37"/>
      <c r="E156" s="37"/>
    </row>
    <row r="157" spans="3:5" ht="24.75" customHeight="1" x14ac:dyDescent="0.25">
      <c r="C157" s="37"/>
      <c r="D157" s="37"/>
      <c r="E157" s="37"/>
    </row>
    <row r="158" spans="3:5" ht="24.75" customHeight="1" x14ac:dyDescent="0.25">
      <c r="C158" s="37"/>
      <c r="D158" s="37"/>
      <c r="E158" s="37"/>
    </row>
    <row r="159" spans="3:5" ht="24.75" customHeight="1" x14ac:dyDescent="0.25">
      <c r="C159" s="37"/>
      <c r="D159" s="37"/>
      <c r="E159" s="37"/>
    </row>
    <row r="160" spans="3:5" ht="24.75" customHeight="1" x14ac:dyDescent="0.25">
      <c r="C160" s="37"/>
      <c r="D160" s="37"/>
      <c r="E160" s="37"/>
    </row>
    <row r="161" spans="3:5" ht="24.75" customHeight="1" x14ac:dyDescent="0.25">
      <c r="C161" s="37"/>
      <c r="D161" s="37"/>
      <c r="E161" s="37"/>
    </row>
    <row r="162" spans="3:5" ht="24.75" customHeight="1" x14ac:dyDescent="0.25">
      <c r="C162" s="37"/>
      <c r="D162" s="37"/>
      <c r="E162" s="37"/>
    </row>
    <row r="163" spans="3:5" ht="24.75" customHeight="1" x14ac:dyDescent="0.25">
      <c r="C163" s="37"/>
      <c r="D163" s="37"/>
      <c r="E163" s="37"/>
    </row>
    <row r="164" spans="3:5" ht="24.75" customHeight="1" x14ac:dyDescent="0.25">
      <c r="C164" s="37"/>
      <c r="D164" s="37"/>
      <c r="E164" s="37"/>
    </row>
    <row r="165" spans="3:5" ht="24.75" customHeight="1" x14ac:dyDescent="0.25">
      <c r="C165" s="37"/>
      <c r="D165" s="37"/>
      <c r="E165" s="37"/>
    </row>
    <row r="166" spans="3:5" ht="24.75" customHeight="1" x14ac:dyDescent="0.25">
      <c r="C166" s="37"/>
      <c r="D166" s="37"/>
      <c r="E166" s="37"/>
    </row>
    <row r="167" spans="3:5" ht="24.75" customHeight="1" x14ac:dyDescent="0.25">
      <c r="C167" s="37"/>
      <c r="D167" s="37"/>
      <c r="E167" s="37"/>
    </row>
    <row r="168" spans="3:5" ht="24.75" customHeight="1" x14ac:dyDescent="0.25">
      <c r="C168" s="37"/>
      <c r="D168" s="37"/>
      <c r="E168" s="37"/>
    </row>
    <row r="169" spans="3:5" ht="24.75" customHeight="1" x14ac:dyDescent="0.25">
      <c r="C169" s="37"/>
      <c r="D169" s="37"/>
      <c r="E169" s="37"/>
    </row>
    <row r="170" spans="3:5" ht="24.75" customHeight="1" x14ac:dyDescent="0.25">
      <c r="C170" s="37"/>
      <c r="D170" s="37"/>
      <c r="E170" s="37"/>
    </row>
    <row r="171" spans="3:5" ht="24.75" customHeight="1" x14ac:dyDescent="0.25">
      <c r="C171" s="37"/>
      <c r="D171" s="37"/>
      <c r="E171" s="37"/>
    </row>
    <row r="172" spans="3:5" ht="24.75" customHeight="1" x14ac:dyDescent="0.25">
      <c r="C172" s="37"/>
      <c r="D172" s="37"/>
      <c r="E172" s="37"/>
    </row>
    <row r="173" spans="3:5" ht="24.75" customHeight="1" x14ac:dyDescent="0.25">
      <c r="C173" s="37"/>
      <c r="D173" s="37"/>
      <c r="E173" s="37"/>
    </row>
    <row r="174" spans="3:5" ht="24.75" customHeight="1" x14ac:dyDescent="0.25">
      <c r="C174" s="37"/>
      <c r="D174" s="37"/>
      <c r="E174" s="37"/>
    </row>
    <row r="175" spans="3:5" ht="24.75" customHeight="1" x14ac:dyDescent="0.25">
      <c r="C175" s="37"/>
      <c r="D175" s="37"/>
      <c r="E175" s="37"/>
    </row>
    <row r="176" spans="3:5" ht="24.75" customHeight="1" x14ac:dyDescent="0.25">
      <c r="C176" s="37"/>
      <c r="D176" s="37"/>
      <c r="E176" s="37"/>
    </row>
    <row r="177" spans="3:5" ht="24.75" customHeight="1" x14ac:dyDescent="0.25">
      <c r="C177" s="37"/>
      <c r="D177" s="37"/>
      <c r="E177" s="37"/>
    </row>
    <row r="178" spans="3:5" ht="24.75" customHeight="1" x14ac:dyDescent="0.25">
      <c r="C178" s="37"/>
      <c r="D178" s="37"/>
      <c r="E178" s="37"/>
    </row>
    <row r="179" spans="3:5" ht="24.75" customHeight="1" x14ac:dyDescent="0.25">
      <c r="C179" s="37"/>
      <c r="D179" s="37"/>
      <c r="E179" s="37"/>
    </row>
    <row r="180" spans="3:5" ht="24.75" customHeight="1" x14ac:dyDescent="0.25">
      <c r="C180" s="37"/>
      <c r="D180" s="37"/>
      <c r="E180" s="37"/>
    </row>
    <row r="181" spans="3:5" ht="24.75" customHeight="1" x14ac:dyDescent="0.25">
      <c r="C181" s="37"/>
      <c r="D181" s="37"/>
      <c r="E181" s="37"/>
    </row>
    <row r="182" spans="3:5" ht="24.75" customHeight="1" x14ac:dyDescent="0.25">
      <c r="C182" s="37"/>
      <c r="D182" s="37"/>
      <c r="E182" s="37"/>
    </row>
    <row r="183" spans="3:5" ht="24.75" customHeight="1" x14ac:dyDescent="0.25">
      <c r="C183" s="37"/>
      <c r="D183" s="37"/>
      <c r="E183" s="37"/>
    </row>
    <row r="184" spans="3:5" ht="24.75" customHeight="1" x14ac:dyDescent="0.25">
      <c r="C184" s="37"/>
      <c r="D184" s="37"/>
      <c r="E184" s="37"/>
    </row>
    <row r="185" spans="3:5" ht="24.75" customHeight="1" x14ac:dyDescent="0.25">
      <c r="C185" s="37"/>
      <c r="D185" s="37"/>
      <c r="E185" s="37"/>
    </row>
    <row r="186" spans="3:5" ht="24.75" customHeight="1" x14ac:dyDescent="0.25">
      <c r="C186" s="37"/>
      <c r="D186" s="37"/>
      <c r="E186" s="37"/>
    </row>
    <row r="187" spans="3:5" ht="24.75" customHeight="1" x14ac:dyDescent="0.25">
      <c r="C187" s="37"/>
      <c r="D187" s="37"/>
      <c r="E187" s="37"/>
    </row>
    <row r="188" spans="3:5" ht="24.75" customHeight="1" x14ac:dyDescent="0.25">
      <c r="C188" s="37"/>
      <c r="D188" s="37"/>
      <c r="E188" s="37"/>
    </row>
    <row r="189" spans="3:5" ht="24.75" customHeight="1" x14ac:dyDescent="0.25">
      <c r="C189" s="37"/>
      <c r="D189" s="37"/>
      <c r="E189" s="37"/>
    </row>
    <row r="190" spans="3:5" ht="24.75" customHeight="1" x14ac:dyDescent="0.25">
      <c r="C190" s="37"/>
      <c r="D190" s="37"/>
      <c r="E190" s="37"/>
    </row>
    <row r="191" spans="3:5" ht="24.75" customHeight="1" x14ac:dyDescent="0.25">
      <c r="C191" s="37"/>
      <c r="D191" s="37"/>
      <c r="E191" s="37"/>
    </row>
    <row r="192" spans="3:5" ht="24.75" customHeight="1" x14ac:dyDescent="0.25">
      <c r="C192" s="37"/>
      <c r="D192" s="37"/>
      <c r="E192" s="37"/>
    </row>
    <row r="193" spans="3:5" ht="24.75" customHeight="1" x14ac:dyDescent="0.25">
      <c r="C193" s="37"/>
      <c r="D193" s="37"/>
      <c r="E193" s="37"/>
    </row>
    <row r="194" spans="3:5" ht="24.75" customHeight="1" x14ac:dyDescent="0.25">
      <c r="C194" s="37"/>
      <c r="D194" s="37"/>
      <c r="E194" s="37"/>
    </row>
    <row r="195" spans="3:5" ht="24.75" customHeight="1" x14ac:dyDescent="0.25">
      <c r="C195" s="37"/>
      <c r="D195" s="37"/>
      <c r="E195" s="37"/>
    </row>
    <row r="196" spans="3:5" ht="24.75" customHeight="1" x14ac:dyDescent="0.25">
      <c r="C196" s="37"/>
      <c r="D196" s="37"/>
      <c r="E196" s="37"/>
    </row>
    <row r="197" spans="3:5" ht="24.75" customHeight="1" x14ac:dyDescent="0.25">
      <c r="C197" s="37"/>
      <c r="D197" s="37"/>
      <c r="E197" s="37"/>
    </row>
    <row r="198" spans="3:5" ht="24.75" customHeight="1" x14ac:dyDescent="0.25">
      <c r="C198" s="37"/>
      <c r="D198" s="37"/>
      <c r="E198" s="37"/>
    </row>
    <row r="199" spans="3:5" ht="24.75" customHeight="1" x14ac:dyDescent="0.25">
      <c r="C199" s="37"/>
      <c r="D199" s="37"/>
      <c r="E199" s="37"/>
    </row>
    <row r="200" spans="3:5" ht="24.75" customHeight="1" x14ac:dyDescent="0.25">
      <c r="C200" s="37"/>
      <c r="D200" s="37"/>
      <c r="E200" s="37"/>
    </row>
    <row r="201" spans="3:5" ht="24.75" customHeight="1" x14ac:dyDescent="0.25">
      <c r="C201" s="37"/>
      <c r="D201" s="37"/>
      <c r="E201" s="37"/>
    </row>
    <row r="202" spans="3:5" ht="24.75" customHeight="1" x14ac:dyDescent="0.25">
      <c r="C202" s="37"/>
      <c r="D202" s="37"/>
      <c r="E202" s="37"/>
    </row>
    <row r="203" spans="3:5" ht="24.75" customHeight="1" x14ac:dyDescent="0.25">
      <c r="C203" s="37"/>
      <c r="D203" s="37"/>
      <c r="E203" s="37"/>
    </row>
    <row r="204" spans="3:5" ht="24.75" customHeight="1" x14ac:dyDescent="0.25">
      <c r="C204" s="37"/>
      <c r="D204" s="37"/>
      <c r="E204" s="37"/>
    </row>
    <row r="205" spans="3:5" ht="24.75" customHeight="1" x14ac:dyDescent="0.25">
      <c r="C205" s="37"/>
      <c r="D205" s="37"/>
      <c r="E205" s="37"/>
    </row>
    <row r="206" spans="3:5" ht="24.75" customHeight="1" x14ac:dyDescent="0.25">
      <c r="C206" s="37"/>
      <c r="D206" s="37"/>
      <c r="E206" s="37"/>
    </row>
    <row r="207" spans="3:5" ht="24.75" customHeight="1" x14ac:dyDescent="0.25">
      <c r="C207" s="37"/>
      <c r="D207" s="37"/>
      <c r="E207" s="37"/>
    </row>
    <row r="208" spans="3:5" ht="24.75" customHeight="1" x14ac:dyDescent="0.25">
      <c r="C208" s="37"/>
      <c r="D208" s="37"/>
      <c r="E208" s="37"/>
    </row>
    <row r="209" spans="3:5" ht="24.75" customHeight="1" x14ac:dyDescent="0.25">
      <c r="C209" s="37"/>
      <c r="D209" s="37"/>
      <c r="E209" s="37"/>
    </row>
    <row r="210" spans="3:5" ht="24.75" customHeight="1" x14ac:dyDescent="0.25">
      <c r="C210" s="37"/>
      <c r="D210" s="37"/>
      <c r="E210" s="37"/>
    </row>
    <row r="211" spans="3:5" ht="24.75" customHeight="1" x14ac:dyDescent="0.25">
      <c r="C211" s="37"/>
      <c r="D211" s="37"/>
      <c r="E211" s="37"/>
    </row>
  </sheetData>
  <mergeCells count="4">
    <mergeCell ref="B5:E5"/>
    <mergeCell ref="B6:E6"/>
    <mergeCell ref="B4:E4"/>
    <mergeCell ref="B3:E3"/>
  </mergeCells>
  <pageMargins left="1.3779527559055118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J22"/>
  <sheetViews>
    <sheetView topLeftCell="A4" workbookViewId="0">
      <selection activeCell="G32" sqref="G32"/>
    </sheetView>
  </sheetViews>
  <sheetFormatPr baseColWidth="10" defaultColWidth="11.44140625" defaultRowHeight="24.75" customHeight="1" x14ac:dyDescent="0.25"/>
  <cols>
    <col min="1" max="1" width="7.44140625" style="4" customWidth="1"/>
    <col min="2" max="2" width="48.109375" style="4" customWidth="1"/>
    <col min="3" max="3" width="24.5546875" style="4" customWidth="1"/>
    <col min="4" max="4" width="11.44140625" style="4"/>
    <col min="5" max="5" width="17.44140625" style="4" bestFit="1" customWidth="1"/>
    <col min="6" max="16384" width="11.44140625" style="4"/>
  </cols>
  <sheetData>
    <row r="3" spans="1:10" ht="24.75" customHeight="1" x14ac:dyDescent="0.3">
      <c r="A3" s="122"/>
      <c r="B3" s="585" t="s">
        <v>275</v>
      </c>
      <c r="C3" s="585"/>
      <c r="D3" s="122"/>
      <c r="G3" s="35"/>
      <c r="H3" s="35"/>
      <c r="I3" s="35"/>
      <c r="J3" s="35"/>
    </row>
    <row r="4" spans="1:10" ht="24.75" customHeight="1" x14ac:dyDescent="0.3">
      <c r="A4" s="122"/>
      <c r="B4" s="585" t="s">
        <v>255</v>
      </c>
      <c r="C4" s="585"/>
      <c r="D4" s="122"/>
      <c r="G4" s="35"/>
      <c r="H4" s="35"/>
      <c r="I4" s="35"/>
      <c r="J4" s="35"/>
    </row>
    <row r="5" spans="1:10" ht="24.75" customHeight="1" x14ac:dyDescent="0.3">
      <c r="A5" s="122"/>
      <c r="B5" s="585" t="s">
        <v>276</v>
      </c>
      <c r="C5" s="585"/>
      <c r="D5" s="122"/>
      <c r="G5" s="35"/>
      <c r="H5" s="35"/>
      <c r="I5" s="35"/>
      <c r="J5" s="35"/>
    </row>
    <row r="6" spans="1:10" ht="24.75" customHeight="1" x14ac:dyDescent="0.3">
      <c r="A6" s="122"/>
      <c r="B6" s="595">
        <v>45838</v>
      </c>
      <c r="C6" s="595"/>
      <c r="D6" s="193"/>
      <c r="E6" s="193"/>
    </row>
    <row r="7" spans="1:10" ht="24.75" customHeight="1" thickBot="1" x14ac:dyDescent="0.35">
      <c r="A7" s="122"/>
      <c r="B7" s="138"/>
      <c r="C7" s="138"/>
      <c r="D7" s="122"/>
    </row>
    <row r="8" spans="1:10" ht="24.75" customHeight="1" thickBot="1" x14ac:dyDescent="0.35">
      <c r="A8" s="122"/>
      <c r="B8" s="141" t="s">
        <v>241</v>
      </c>
      <c r="C8" s="143" t="s">
        <v>258</v>
      </c>
      <c r="D8" s="122"/>
      <c r="E8" s="183"/>
    </row>
    <row r="9" spans="1:10" ht="24.75" customHeight="1" x14ac:dyDescent="0.25">
      <c r="A9" s="122"/>
      <c r="B9" s="194" t="s">
        <v>277</v>
      </c>
      <c r="C9" s="195">
        <f>+'NOTA 3-C-CONST '!F37</f>
        <v>7132898.709999999</v>
      </c>
      <c r="D9" s="122"/>
      <c r="E9" s="183"/>
    </row>
    <row r="10" spans="1:10" ht="24.75" customHeight="1" x14ac:dyDescent="0.25">
      <c r="A10" s="122"/>
      <c r="B10" s="196" t="s">
        <v>278</v>
      </c>
      <c r="C10" s="197">
        <f>+'NOTA 3-ANTIC COMP Y OTRAS'!E20</f>
        <v>3355296.4899999998</v>
      </c>
      <c r="D10" s="122"/>
      <c r="E10" s="183"/>
    </row>
    <row r="11" spans="1:10" ht="24.75" hidden="1" customHeight="1" x14ac:dyDescent="0.25">
      <c r="A11" s="122"/>
      <c r="B11" s="196" t="s">
        <v>279</v>
      </c>
      <c r="C11" s="197">
        <f>+'NOTA 3-Intereses'!C11</f>
        <v>0</v>
      </c>
      <c r="D11" s="122"/>
      <c r="E11" s="183"/>
    </row>
    <row r="12" spans="1:10" ht="24.75" customHeight="1" x14ac:dyDescent="0.25">
      <c r="A12" s="122"/>
      <c r="B12" s="196" t="s">
        <v>280</v>
      </c>
      <c r="C12" s="197">
        <f>+'Nota 3 CxC Emplead'!I12</f>
        <v>44334</v>
      </c>
      <c r="D12" s="122"/>
      <c r="E12" s="183"/>
    </row>
    <row r="13" spans="1:10" ht="24.75" customHeight="1" x14ac:dyDescent="0.4">
      <c r="A13" s="122"/>
      <c r="B13" s="196" t="s">
        <v>281</v>
      </c>
      <c r="C13" s="198">
        <f>+'NOTA 3-C X C'!C12</f>
        <v>229732.34999999998</v>
      </c>
      <c r="D13" s="122"/>
      <c r="E13" s="183"/>
    </row>
    <row r="14" spans="1:10" ht="24.75" customHeight="1" x14ac:dyDescent="0.45">
      <c r="A14" s="122"/>
      <c r="B14" s="199" t="s">
        <v>274</v>
      </c>
      <c r="C14" s="200">
        <f>SUM(C9:C13)</f>
        <v>10762261.549999999</v>
      </c>
      <c r="D14" s="122"/>
      <c r="E14" s="183"/>
    </row>
    <row r="15" spans="1:10" ht="24.75" customHeight="1" thickBot="1" x14ac:dyDescent="0.3">
      <c r="A15" s="122"/>
      <c r="B15" s="201"/>
      <c r="C15" s="202"/>
      <c r="D15" s="122"/>
      <c r="E15" s="183"/>
    </row>
    <row r="16" spans="1:10" ht="24.75" customHeight="1" x14ac:dyDescent="0.25">
      <c r="C16" s="25"/>
      <c r="E16" s="183"/>
    </row>
    <row r="17" spans="1:6" ht="24.75" customHeight="1" x14ac:dyDescent="0.25">
      <c r="A17" s="171"/>
      <c r="B17" s="172"/>
      <c r="C17" s="173"/>
      <c r="D17" s="174"/>
      <c r="E17" s="183"/>
      <c r="F17" s="173"/>
    </row>
    <row r="18" spans="1:6" ht="24.75" customHeight="1" x14ac:dyDescent="0.25">
      <c r="A18" s="171"/>
      <c r="B18" s="172"/>
      <c r="C18" s="173"/>
      <c r="D18" s="174"/>
      <c r="E18" s="174"/>
      <c r="F18" s="173"/>
    </row>
    <row r="19" spans="1:6" ht="24.75" customHeight="1" x14ac:dyDescent="0.25">
      <c r="A19" s="171"/>
      <c r="B19" s="172"/>
      <c r="C19" s="173"/>
      <c r="D19" s="173"/>
      <c r="E19" s="173"/>
      <c r="F19" s="173"/>
    </row>
    <row r="20" spans="1:6" ht="24.75" customHeight="1" x14ac:dyDescent="0.25">
      <c r="A20" s="171"/>
      <c r="B20" s="172"/>
      <c r="C20" s="173"/>
      <c r="D20" s="173"/>
      <c r="E20" s="173"/>
      <c r="F20" s="173"/>
    </row>
    <row r="21" spans="1:6" ht="24.75" customHeight="1" x14ac:dyDescent="0.25">
      <c r="A21" s="171"/>
      <c r="B21" s="172"/>
      <c r="C21" s="173"/>
      <c r="D21" s="174"/>
      <c r="E21" s="173"/>
      <c r="F21" s="173"/>
    </row>
    <row r="22" spans="1:6" ht="24.75" customHeight="1" x14ac:dyDescent="0.25">
      <c r="A22" s="171"/>
      <c r="B22" s="172"/>
      <c r="C22" s="173"/>
      <c r="D22" s="173"/>
      <c r="E22" s="173"/>
      <c r="F22" s="173"/>
    </row>
  </sheetData>
  <mergeCells count="4">
    <mergeCell ref="B3:C3"/>
    <mergeCell ref="B4:C4"/>
    <mergeCell ref="B6:C6"/>
    <mergeCell ref="B5:C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54"/>
  <sheetViews>
    <sheetView topLeftCell="B22" zoomScaleNormal="100" zoomScaleSheetLayoutView="80" workbookViewId="0">
      <selection activeCell="G32" sqref="G32"/>
    </sheetView>
  </sheetViews>
  <sheetFormatPr baseColWidth="10" defaultColWidth="9.109375" defaultRowHeight="15" x14ac:dyDescent="0.25"/>
  <cols>
    <col min="1" max="1" width="7.5546875" style="4" bestFit="1" customWidth="1"/>
    <col min="2" max="2" width="46.6640625" style="4" customWidth="1"/>
    <col min="3" max="3" width="68.88671875" style="4" customWidth="1"/>
    <col min="4" max="5" width="21.5546875" style="36" bestFit="1" customWidth="1"/>
    <col min="6" max="6" width="20" style="36" customWidth="1"/>
    <col min="7" max="7" width="15.6640625" style="36" bestFit="1" customWidth="1"/>
    <col min="8" max="8" width="21.109375" style="4" customWidth="1"/>
    <col min="9" max="9" width="16.88671875" style="4" bestFit="1" customWidth="1"/>
    <col min="10" max="10" width="9.88671875" style="4" bestFit="1" customWidth="1"/>
    <col min="11" max="16384" width="9.109375" style="4"/>
  </cols>
  <sheetData>
    <row r="1" spans="2:8" ht="18" customHeight="1" x14ac:dyDescent="0.3">
      <c r="B1" s="585"/>
      <c r="C1" s="585"/>
      <c r="D1" s="585"/>
      <c r="E1" s="585"/>
      <c r="F1" s="585"/>
    </row>
    <row r="2" spans="2:8" ht="24.75" customHeight="1" x14ac:dyDescent="0.3">
      <c r="B2" s="35"/>
      <c r="C2" s="35"/>
      <c r="D2" s="35"/>
      <c r="E2" s="35"/>
      <c r="F2" s="35"/>
    </row>
    <row r="3" spans="2:8" ht="24.75" customHeight="1" x14ac:dyDescent="0.3">
      <c r="B3" s="585" t="s">
        <v>275</v>
      </c>
      <c r="C3" s="585"/>
      <c r="D3" s="585"/>
      <c r="E3" s="585"/>
      <c r="F3" s="585"/>
    </row>
    <row r="4" spans="2:8" ht="24.75" customHeight="1" x14ac:dyDescent="0.3">
      <c r="B4" s="585" t="s">
        <v>255</v>
      </c>
      <c r="C4" s="585"/>
      <c r="D4" s="585"/>
      <c r="E4" s="585"/>
      <c r="F4" s="585"/>
    </row>
    <row r="5" spans="2:8" ht="24.75" customHeight="1" x14ac:dyDescent="0.3">
      <c r="B5" s="585" t="s">
        <v>282</v>
      </c>
      <c r="C5" s="585"/>
      <c r="D5" s="585"/>
      <c r="E5" s="585"/>
      <c r="F5" s="585"/>
    </row>
    <row r="6" spans="2:8" ht="24.75" customHeight="1" x14ac:dyDescent="0.3">
      <c r="B6" s="595">
        <v>45838</v>
      </c>
      <c r="C6" s="595"/>
      <c r="D6" s="595"/>
      <c r="E6" s="595"/>
      <c r="F6" s="595"/>
    </row>
    <row r="7" spans="2:8" ht="24.75" customHeight="1" thickBot="1" x14ac:dyDescent="0.3">
      <c r="D7" s="4"/>
      <c r="E7" s="4"/>
      <c r="F7" s="4"/>
    </row>
    <row r="8" spans="2:8" ht="24.75" customHeight="1" x14ac:dyDescent="0.3">
      <c r="B8" s="598" t="s">
        <v>241</v>
      </c>
      <c r="C8" s="599"/>
      <c r="D8" s="203" t="s">
        <v>283</v>
      </c>
      <c r="E8" s="602" t="s">
        <v>284</v>
      </c>
      <c r="F8" s="204" t="s">
        <v>283</v>
      </c>
      <c r="G8" s="4"/>
    </row>
    <row r="9" spans="2:8" ht="24.75" customHeight="1" thickBot="1" x14ac:dyDescent="0.35">
      <c r="B9" s="600"/>
      <c r="C9" s="601"/>
      <c r="D9" s="205" t="s">
        <v>285</v>
      </c>
      <c r="E9" s="603"/>
      <c r="F9" s="206" t="s">
        <v>286</v>
      </c>
      <c r="G9" s="4"/>
    </row>
    <row r="10" spans="2:8" ht="39.6" customHeight="1" x14ac:dyDescent="0.25">
      <c r="B10" s="596" t="s">
        <v>287</v>
      </c>
      <c r="C10" s="207" t="s">
        <v>288</v>
      </c>
      <c r="D10" s="208">
        <v>617492.96</v>
      </c>
      <c r="E10" s="208"/>
      <c r="F10" s="209">
        <f t="shared" ref="F10:F12" si="0">D10-E10</f>
        <v>617492.96</v>
      </c>
      <c r="G10" s="4"/>
      <c r="H10" s="25"/>
    </row>
    <row r="11" spans="2:8" ht="39.6" customHeight="1" x14ac:dyDescent="0.25">
      <c r="B11" s="597"/>
      <c r="C11" s="210" t="s">
        <v>289</v>
      </c>
      <c r="D11" s="176">
        <v>4476.88</v>
      </c>
      <c r="E11" s="176"/>
      <c r="F11" s="211">
        <f t="shared" si="0"/>
        <v>4476.88</v>
      </c>
      <c r="G11" s="4"/>
      <c r="H11" s="25"/>
    </row>
    <row r="12" spans="2:8" ht="39.6" customHeight="1" x14ac:dyDescent="0.3">
      <c r="B12" s="212" t="s">
        <v>290</v>
      </c>
      <c r="C12" s="210" t="s">
        <v>882</v>
      </c>
      <c r="D12" s="176">
        <v>743275.76</v>
      </c>
      <c r="E12" s="176"/>
      <c r="F12" s="176">
        <f t="shared" si="0"/>
        <v>743275.76</v>
      </c>
      <c r="G12" s="4"/>
      <c r="H12" s="25"/>
    </row>
    <row r="13" spans="2:8" ht="39.6" customHeight="1" x14ac:dyDescent="0.3">
      <c r="B13" s="213" t="s">
        <v>291</v>
      </c>
      <c r="C13" s="210" t="s">
        <v>883</v>
      </c>
      <c r="D13" s="176">
        <v>27945.799999999988</v>
      </c>
      <c r="E13" s="176">
        <v>27945.8</v>
      </c>
      <c r="F13" s="176">
        <f>D13-E13</f>
        <v>0</v>
      </c>
      <c r="H13" s="25"/>
    </row>
    <row r="14" spans="2:8" ht="39.6" customHeight="1" x14ac:dyDescent="0.3">
      <c r="B14" s="212" t="s">
        <v>292</v>
      </c>
      <c r="C14" s="210" t="s">
        <v>884</v>
      </c>
      <c r="D14" s="176">
        <v>25017.630000000005</v>
      </c>
      <c r="E14" s="176"/>
      <c r="F14" s="176">
        <f>D14-E14</f>
        <v>25017.630000000005</v>
      </c>
      <c r="H14" s="25"/>
    </row>
    <row r="15" spans="2:8" ht="39.6" customHeight="1" x14ac:dyDescent="0.3">
      <c r="B15" s="213" t="s">
        <v>293</v>
      </c>
      <c r="C15" s="210" t="s">
        <v>294</v>
      </c>
      <c r="D15" s="176">
        <v>601501.59</v>
      </c>
      <c r="E15" s="176"/>
      <c r="F15" s="176">
        <f>D15-E15</f>
        <v>601501.59</v>
      </c>
      <c r="H15" s="25"/>
    </row>
    <row r="16" spans="2:8" ht="39.6" customHeight="1" x14ac:dyDescent="0.3">
      <c r="B16" s="212" t="s">
        <v>295</v>
      </c>
      <c r="C16" s="210" t="s">
        <v>296</v>
      </c>
      <c r="D16" s="176">
        <v>608783.95000000007</v>
      </c>
      <c r="E16" s="176"/>
      <c r="F16" s="176">
        <f>D16-E16</f>
        <v>608783.95000000007</v>
      </c>
      <c r="H16" s="25"/>
    </row>
    <row r="17" spans="2:9" ht="39.6" customHeight="1" x14ac:dyDescent="0.3">
      <c r="B17" s="212" t="s">
        <v>297</v>
      </c>
      <c r="C17" s="210" t="s">
        <v>298</v>
      </c>
      <c r="D17" s="176">
        <v>814702.41</v>
      </c>
      <c r="E17" s="176">
        <f>60932.32+89366.58+114703.52+206038.52+116814.12+162730.25+64117.1</f>
        <v>814702.40999999992</v>
      </c>
      <c r="F17" s="176">
        <f t="shared" ref="F17:F29" si="1">D17-E17</f>
        <v>0</v>
      </c>
      <c r="H17" s="25"/>
      <c r="I17" s="32"/>
    </row>
    <row r="18" spans="2:9" ht="39.6" customHeight="1" x14ac:dyDescent="0.3">
      <c r="B18" s="212" t="s">
        <v>299</v>
      </c>
      <c r="C18" s="210" t="s">
        <v>300</v>
      </c>
      <c r="D18" s="176">
        <v>104068.5</v>
      </c>
      <c r="E18" s="176">
        <v>91558.03</v>
      </c>
      <c r="F18" s="176">
        <f t="shared" si="1"/>
        <v>12510.470000000001</v>
      </c>
      <c r="H18" s="25"/>
    </row>
    <row r="19" spans="2:9" ht="39.6" customHeight="1" x14ac:dyDescent="0.3">
      <c r="B19" s="213" t="s">
        <v>301</v>
      </c>
      <c r="C19" s="210" t="s">
        <v>302</v>
      </c>
      <c r="D19" s="176">
        <v>5506.4100000000108</v>
      </c>
      <c r="E19" s="176"/>
      <c r="F19" s="211">
        <f t="shared" si="1"/>
        <v>5506.4100000000108</v>
      </c>
      <c r="H19" s="25"/>
    </row>
    <row r="20" spans="2:9" ht="39.6" customHeight="1" x14ac:dyDescent="0.3">
      <c r="B20" s="212" t="s">
        <v>303</v>
      </c>
      <c r="C20" s="210" t="s">
        <v>304</v>
      </c>
      <c r="D20" s="176">
        <v>499058.10999999993</v>
      </c>
      <c r="E20" s="176"/>
      <c r="F20" s="176">
        <f t="shared" si="1"/>
        <v>499058.10999999993</v>
      </c>
      <c r="H20" s="25"/>
    </row>
    <row r="21" spans="2:9" ht="39.6" customHeight="1" x14ac:dyDescent="0.3">
      <c r="B21" s="212" t="s">
        <v>305</v>
      </c>
      <c r="C21" s="210" t="s">
        <v>306</v>
      </c>
      <c r="D21" s="176">
        <v>639569.22</v>
      </c>
      <c r="E21" s="176">
        <v>46161.86</v>
      </c>
      <c r="F21" s="176">
        <f t="shared" si="1"/>
        <v>593407.36</v>
      </c>
      <c r="H21" s="25"/>
      <c r="I21" s="214"/>
    </row>
    <row r="22" spans="2:9" ht="39.6" customHeight="1" x14ac:dyDescent="0.3">
      <c r="B22" s="212" t="s">
        <v>307</v>
      </c>
      <c r="C22" s="210" t="s">
        <v>308</v>
      </c>
      <c r="D22" s="176">
        <v>851941.5199999999</v>
      </c>
      <c r="E22" s="176">
        <f>67011.97+323371.84+273564.81</f>
        <v>663948.62000000011</v>
      </c>
      <c r="F22" s="176">
        <f t="shared" si="1"/>
        <v>187992.89999999979</v>
      </c>
      <c r="H22" s="25"/>
    </row>
    <row r="23" spans="2:9" ht="39.6" customHeight="1" x14ac:dyDescent="0.3">
      <c r="B23" s="212" t="s">
        <v>309</v>
      </c>
      <c r="C23" s="210" t="s">
        <v>310</v>
      </c>
      <c r="D23" s="176">
        <v>537913.55000000005</v>
      </c>
      <c r="E23" s="176">
        <f>120419.27+411350.52</f>
        <v>531769.79</v>
      </c>
      <c r="F23" s="176">
        <f t="shared" si="1"/>
        <v>6143.7600000000093</v>
      </c>
      <c r="H23" s="25"/>
    </row>
    <row r="24" spans="2:9" ht="45.75" customHeight="1" x14ac:dyDescent="0.3">
      <c r="B24" s="212" t="s">
        <v>311</v>
      </c>
      <c r="C24" s="210" t="s">
        <v>312</v>
      </c>
      <c r="D24" s="176">
        <v>811013.05000000016</v>
      </c>
      <c r="E24" s="176">
        <f>46165.68+60453.88+61520.11+146866.88+496006.5</f>
        <v>811013.05</v>
      </c>
      <c r="F24" s="176">
        <f t="shared" si="1"/>
        <v>0</v>
      </c>
      <c r="H24" s="25"/>
    </row>
    <row r="25" spans="2:9" ht="30.6" x14ac:dyDescent="0.3">
      <c r="B25" s="212" t="s">
        <v>313</v>
      </c>
      <c r="C25" s="210" t="s">
        <v>314</v>
      </c>
      <c r="D25" s="176">
        <v>1762344.18</v>
      </c>
      <c r="E25" s="176">
        <f>235574.08+226712.69+213416.11+229506.01+236973.83</f>
        <v>1142182.72</v>
      </c>
      <c r="F25" s="176">
        <f t="shared" si="1"/>
        <v>620161.46</v>
      </c>
      <c r="H25" s="25"/>
    </row>
    <row r="26" spans="2:9" ht="39.6" customHeight="1" x14ac:dyDescent="0.3">
      <c r="B26" s="212" t="s">
        <v>315</v>
      </c>
      <c r="C26" s="210" t="s">
        <v>316</v>
      </c>
      <c r="D26" s="176">
        <v>942080.79</v>
      </c>
      <c r="E26" s="176">
        <f>60579.28+105283.77</f>
        <v>165863.04999999999</v>
      </c>
      <c r="F26" s="176">
        <f t="shared" si="1"/>
        <v>776217.74</v>
      </c>
      <c r="H26" s="25"/>
    </row>
    <row r="27" spans="2:9" ht="39.6" customHeight="1" x14ac:dyDescent="0.3">
      <c r="B27" s="213" t="s">
        <v>301</v>
      </c>
      <c r="C27" s="210" t="s">
        <v>317</v>
      </c>
      <c r="D27" s="176">
        <v>2257548</v>
      </c>
      <c r="E27" s="176">
        <f>301624.06+330236.89+273097.18+150481.58+238893.34+241462.29+302629.52</f>
        <v>1838424.86</v>
      </c>
      <c r="F27" s="176">
        <f t="shared" si="1"/>
        <v>419123.1399999999</v>
      </c>
      <c r="H27" s="25"/>
    </row>
    <row r="28" spans="2:9" ht="39.6" customHeight="1" x14ac:dyDescent="0.3">
      <c r="B28" s="212" t="s">
        <v>301</v>
      </c>
      <c r="C28" s="210" t="s">
        <v>318</v>
      </c>
      <c r="D28" s="176">
        <v>1640362.07</v>
      </c>
      <c r="E28" s="176">
        <f>564682.61+149772.01+168279.13+347104.04+3000+407524.28</f>
        <v>1640362.07</v>
      </c>
      <c r="F28" s="176">
        <f t="shared" si="1"/>
        <v>0</v>
      </c>
      <c r="H28" s="25"/>
    </row>
    <row r="29" spans="2:9" ht="49.5" customHeight="1" x14ac:dyDescent="0.3">
      <c r="B29" s="212" t="s">
        <v>319</v>
      </c>
      <c r="C29" s="210" t="s">
        <v>320</v>
      </c>
      <c r="D29" s="176">
        <v>485158.58</v>
      </c>
      <c r="E29" s="176"/>
      <c r="F29" s="176">
        <f t="shared" si="1"/>
        <v>485158.58</v>
      </c>
      <c r="H29" s="25"/>
    </row>
    <row r="30" spans="2:9" ht="39.6" customHeight="1" x14ac:dyDescent="0.3">
      <c r="B30" s="213" t="s">
        <v>321</v>
      </c>
      <c r="C30" s="215" t="s">
        <v>322</v>
      </c>
      <c r="D30" s="176">
        <v>1718395.94</v>
      </c>
      <c r="E30" s="176">
        <f>640523.72+514814.38+266421.49</f>
        <v>1421759.59</v>
      </c>
      <c r="F30" s="176">
        <f t="shared" ref="F30:F36" si="2">D30-E30</f>
        <v>296636.34999999986</v>
      </c>
      <c r="H30" s="25"/>
    </row>
    <row r="31" spans="2:9" ht="39.6" customHeight="1" x14ac:dyDescent="0.25">
      <c r="B31" s="216" t="s">
        <v>323</v>
      </c>
      <c r="C31" s="215" t="s">
        <v>324</v>
      </c>
      <c r="D31" s="176">
        <v>1168921.01</v>
      </c>
      <c r="E31" s="176">
        <f>369830.56+623527.83</f>
        <v>993358.3899999999</v>
      </c>
      <c r="F31" s="176">
        <f t="shared" si="2"/>
        <v>175562.62000000011</v>
      </c>
      <c r="H31" s="25"/>
    </row>
    <row r="32" spans="2:9" ht="39.6" customHeight="1" x14ac:dyDescent="0.25">
      <c r="B32" s="216" t="s">
        <v>325</v>
      </c>
      <c r="C32" s="215" t="s">
        <v>326</v>
      </c>
      <c r="D32" s="176">
        <v>939063.12</v>
      </c>
      <c r="E32" s="176">
        <f>306503.37+472144.9+160414.85</f>
        <v>939063.12</v>
      </c>
      <c r="F32" s="176">
        <f t="shared" si="2"/>
        <v>0</v>
      </c>
      <c r="H32" s="25"/>
      <c r="I32" s="32"/>
    </row>
    <row r="33" spans="2:8" ht="39.6" customHeight="1" x14ac:dyDescent="0.25">
      <c r="B33" s="216" t="s">
        <v>327</v>
      </c>
      <c r="C33" s="215" t="s">
        <v>328</v>
      </c>
      <c r="D33" s="176">
        <v>1252298.3899999999</v>
      </c>
      <c r="E33" s="176">
        <f>292101.94+357646.09+328346.97+81497.03</f>
        <v>1059592.03</v>
      </c>
      <c r="F33" s="176">
        <f t="shared" si="2"/>
        <v>192706.35999999987</v>
      </c>
      <c r="H33" s="25">
        <v>81497.039999999994</v>
      </c>
    </row>
    <row r="34" spans="2:8" ht="59.25" customHeight="1" x14ac:dyDescent="0.25">
      <c r="B34" s="216" t="s">
        <v>329</v>
      </c>
      <c r="C34" s="215" t="s">
        <v>597</v>
      </c>
      <c r="D34" s="176">
        <v>1736309.42</v>
      </c>
      <c r="E34" s="176">
        <f>1920270.65-666377.45+384440.57</f>
        <v>1638333.77</v>
      </c>
      <c r="F34" s="176">
        <f t="shared" si="2"/>
        <v>97975.649999999907</v>
      </c>
      <c r="H34" s="25"/>
    </row>
    <row r="35" spans="2:8" ht="43.5" customHeight="1" x14ac:dyDescent="0.25">
      <c r="B35" s="216" t="s">
        <v>323</v>
      </c>
      <c r="C35" s="215" t="s">
        <v>596</v>
      </c>
      <c r="D35" s="176">
        <v>232924.81</v>
      </c>
      <c r="E35" s="176">
        <v>0</v>
      </c>
      <c r="F35" s="176">
        <f t="shared" si="2"/>
        <v>232924.81</v>
      </c>
      <c r="H35" s="25"/>
    </row>
    <row r="36" spans="2:8" ht="53.25" customHeight="1" x14ac:dyDescent="0.4">
      <c r="B36" s="216" t="s">
        <v>329</v>
      </c>
      <c r="C36" s="215" t="s">
        <v>595</v>
      </c>
      <c r="D36" s="217">
        <v>186534.47</v>
      </c>
      <c r="E36" s="217">
        <f>157294.6+97975.65</f>
        <v>255270.25</v>
      </c>
      <c r="F36" s="217">
        <f t="shared" si="2"/>
        <v>-68735.78</v>
      </c>
      <c r="H36" s="25">
        <v>97975.65</v>
      </c>
    </row>
    <row r="37" spans="2:8" ht="29.25" customHeight="1" x14ac:dyDescent="0.45">
      <c r="B37" s="218"/>
      <c r="C37" s="219" t="s">
        <v>330</v>
      </c>
      <c r="D37" s="179">
        <f>SUM(D10:D36)</f>
        <v>21214208.120000001</v>
      </c>
      <c r="E37" s="179">
        <f>SUM(E10:E36)</f>
        <v>14081309.41</v>
      </c>
      <c r="F37" s="179">
        <f>SUM(F10:F36)</f>
        <v>7132898.709999999</v>
      </c>
      <c r="H37" s="36"/>
    </row>
    <row r="38" spans="2:8" ht="21.75" customHeight="1" x14ac:dyDescent="0.25">
      <c r="B38" s="218"/>
      <c r="C38" s="218"/>
      <c r="D38" s="176"/>
      <c r="E38" s="176"/>
      <c r="F38" s="176"/>
      <c r="H38" s="25"/>
    </row>
    <row r="39" spans="2:8" x14ac:dyDescent="0.25">
      <c r="H39" s="25"/>
    </row>
    <row r="40" spans="2:8" x14ac:dyDescent="0.25">
      <c r="H40" s="25"/>
    </row>
    <row r="41" spans="2:8" ht="15.6" x14ac:dyDescent="0.3">
      <c r="C41" s="220" t="s">
        <v>331</v>
      </c>
      <c r="H41" s="25"/>
    </row>
    <row r="42" spans="2:8" x14ac:dyDescent="0.25">
      <c r="C42" s="36"/>
    </row>
    <row r="43" spans="2:8" x14ac:dyDescent="0.25">
      <c r="C43" s="221"/>
      <c r="D43" s="222"/>
      <c r="G43" s="223"/>
    </row>
    <row r="44" spans="2:8" x14ac:dyDescent="0.25">
      <c r="C44" s="221"/>
      <c r="D44" s="222"/>
      <c r="G44" s="223"/>
    </row>
    <row r="54" spans="6:6" x14ac:dyDescent="0.25">
      <c r="F54" s="36">
        <v>0</v>
      </c>
    </row>
  </sheetData>
  <mergeCells count="8">
    <mergeCell ref="B5:F5"/>
    <mergeCell ref="B10:B11"/>
    <mergeCell ref="B1:F1"/>
    <mergeCell ref="B3:F3"/>
    <mergeCell ref="B8:C9"/>
    <mergeCell ref="B4:F4"/>
    <mergeCell ref="B6:F6"/>
    <mergeCell ref="E8:E9"/>
  </mergeCells>
  <phoneticPr fontId="62" type="noConversion"/>
  <pageMargins left="0.35433070866141736" right="0.74803149606299213" top="0.98425196850393704" bottom="0.98425196850393704" header="0" footer="0"/>
  <pageSetup paperSize="9" scale="4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Props1.xml><?xml version="1.0" encoding="utf-8"?>
<ds:datastoreItem xmlns:ds="http://schemas.openxmlformats.org/officeDocument/2006/customXml" ds:itemID="{129C60E9-23AB-43E9-A4AB-19167BA2FC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76B706-B369-432E-8EC8-B9FD9A2B04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8AFEAD-B07C-4143-B1DB-C84A104FD8A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1187603-E1DF-40ED-A8CE-010332182A79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5234e139-98e4-4c0e-a873-2c35232cb746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29fe298-b51a-4ddb-9231-b6d9f99174b5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25</vt:i4>
      </vt:variant>
    </vt:vector>
  </HeadingPairs>
  <TitlesOfParts>
    <vt:vector size="59" baseType="lpstr">
      <vt:lpstr>Estado Situación</vt:lpstr>
      <vt:lpstr>Estado de Resultados</vt:lpstr>
      <vt:lpstr>A-SITUACION ANEXOS</vt:lpstr>
      <vt:lpstr>NOTA 14-CAPITAL</vt:lpstr>
      <vt:lpstr>A-RESULTADOS ANEXOS</vt:lpstr>
      <vt:lpstr>Cédula Nota 1</vt:lpstr>
      <vt:lpstr>Cédula Nota 2 </vt:lpstr>
      <vt:lpstr>Nota 3 Resumen</vt:lpstr>
      <vt:lpstr>NOTA 3-C-CONST </vt:lpstr>
      <vt:lpstr>NOTA 3-ANTIC COMP Y OTRAS</vt:lpstr>
      <vt:lpstr>NOTA 3-Intereses</vt:lpstr>
      <vt:lpstr>Nota 3 CxC Emplead</vt:lpstr>
      <vt:lpstr>NOTA 3-C X C</vt:lpstr>
      <vt:lpstr>NOTA 4  INVENTARIO</vt:lpstr>
      <vt:lpstr>NOTA 5  GPA</vt:lpstr>
      <vt:lpstr>NOTA 5-SEG PAG X ANT</vt:lpstr>
      <vt:lpstr>NOTA 5 LIC ALDABA LINKEDIN</vt:lpstr>
      <vt:lpstr>NOTA 5 - LIC MS 365 AMORTIZ</vt:lpstr>
      <vt:lpstr>NOTA 5 LICENCIAS JIRA</vt:lpstr>
      <vt:lpstr>NOTA 5 LIC ANTIDESASTRES</vt:lpstr>
      <vt:lpstr>NOTA 5 Licencias Adobe</vt:lpstr>
      <vt:lpstr>NOTA 6-DIVIDENDOS</vt:lpstr>
      <vt:lpstr>NOTA 7-AVANCES A FUTURAS CAPIT</vt:lpstr>
      <vt:lpstr>Tabacalera</vt:lpstr>
      <vt:lpstr>NOTA 8-MOBILIARIO Y EQUIPOS, NE</vt:lpstr>
      <vt:lpstr>NOTA 9-CEDULAS CxP PROVEEDORES </vt:lpstr>
      <vt:lpstr>NOTA 10-CEDULAS CxP CONTRATISTA</vt:lpstr>
      <vt:lpstr>NOTA 11-GASTOS PERSONAL X PAGAR</vt:lpstr>
      <vt:lpstr>NOTA 11-BONIFICACION</vt:lpstr>
      <vt:lpstr>NOTA 11-VACACIONES</vt:lpstr>
      <vt:lpstr>NOTA 11-REGALIA</vt:lpstr>
      <vt:lpstr>NOTA 12-RETENCIONES X PAGAR</vt:lpstr>
      <vt:lpstr>NOTA 13-OTRAS CXP</vt:lpstr>
      <vt:lpstr>Hoja5</vt:lpstr>
      <vt:lpstr>'A-RESULTADOS ANEXOS'!Área_de_impresión</vt:lpstr>
      <vt:lpstr>'A-SITUACION ANEXOS'!Área_de_impresión</vt:lpstr>
      <vt:lpstr>'Cédula Nota 1'!Área_de_impresión</vt:lpstr>
      <vt:lpstr>'Cédula Nota 2 '!Área_de_impresión</vt:lpstr>
      <vt:lpstr>'Estado de Resultados'!Área_de_impresión</vt:lpstr>
      <vt:lpstr>'Estado Situación'!Área_de_impresión</vt:lpstr>
      <vt:lpstr>'NOTA 10-CEDULAS CxP CONTRATISTA'!Área_de_impresión</vt:lpstr>
      <vt:lpstr>'NOTA 11-BONIFICACION'!Área_de_impresión</vt:lpstr>
      <vt:lpstr>'NOTA 11-GASTOS PERSONAL X PAGAR'!Área_de_impresión</vt:lpstr>
      <vt:lpstr>'NOTA 12-RETENCIONES X PAGAR'!Área_de_impresión</vt:lpstr>
      <vt:lpstr>'NOTA 13-OTRAS CXP'!Área_de_impresión</vt:lpstr>
      <vt:lpstr>'NOTA 14-CAPITAL'!Área_de_impresión</vt:lpstr>
      <vt:lpstr>'NOTA 3-ANTIC COMP Y OTRAS'!Área_de_impresión</vt:lpstr>
      <vt:lpstr>'NOTA 3-C X C'!Área_de_impresión</vt:lpstr>
      <vt:lpstr>'NOTA 3-C-CONST '!Área_de_impresión</vt:lpstr>
      <vt:lpstr>'NOTA 4  INVENTARIO'!Área_de_impresión</vt:lpstr>
      <vt:lpstr>'NOTA 5  GPA'!Área_de_impresión</vt:lpstr>
      <vt:lpstr>'NOTA 5 - LIC MS 365 AMORTIZ'!Área_de_impresión</vt:lpstr>
      <vt:lpstr>'NOTA 7-AVANCES A FUTURAS CAPIT'!Área_de_impresión</vt:lpstr>
      <vt:lpstr>'NOTA 8-MOBILIARIO Y EQUIPOS, NE'!Área_de_impresión</vt:lpstr>
      <vt:lpstr>'NOTA 9-CEDULAS CxP PROVEEDORES '!Área_de_impresión</vt:lpstr>
      <vt:lpstr>'A-RESULTADOS ANEXOS'!Títulos_a_imprimir</vt:lpstr>
      <vt:lpstr>'A-SITUACION ANEXOS'!Títulos_a_imprimir</vt:lpstr>
      <vt:lpstr>'NOTA 11-VACACIONES'!Títulos_a_imprimir</vt:lpstr>
      <vt:lpstr>'NOTA 3-C-CONST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2025-07-15T15:43:23Z</cp:lastPrinted>
  <dcterms:created xsi:type="dcterms:W3CDTF">2008-09-03T15:34:54Z</dcterms:created>
  <dcterms:modified xsi:type="dcterms:W3CDTF">2025-07-16T13:09:06Z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Katty Suero</vt:lpwstr>
  </property>
  <property fmtid="{D5CDD505-2E9C-101B-9397-08002B2CF9AE}" pid="3" name="Order">
    <vt:lpwstr>1188400.00000000</vt:lpwstr>
  </property>
  <property fmtid="{D5CDD505-2E9C-101B-9397-08002B2CF9AE}" pid="4" name="display_urn:schemas-microsoft-com:office:office#Author">
    <vt:lpwstr>Katty Suero</vt:lpwstr>
  </property>
  <property fmtid="{D5CDD505-2E9C-101B-9397-08002B2CF9AE}" pid="5" name="ContentTypeId">
    <vt:lpwstr>0x0101004FD84E918004A044BCE378A5E7129897</vt:lpwstr>
  </property>
  <property fmtid="{D5CDD505-2E9C-101B-9397-08002B2CF9AE}" pid="6" name="MediaServiceImageTags">
    <vt:lpwstr/>
  </property>
</Properties>
</file>